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Radna površina Helena\OV\saziv 2025 - 2029\2 sjednica 2025\GOTOVE ODLUKE\"/>
    </mc:Choice>
  </mc:AlternateContent>
  <xr:revisionPtr revIDLastSave="0" documentId="13_ncr:1_{1A30D555-5DD2-474B-A36A-CB7DFAE04C5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AŽETAK" sheetId="1" r:id="rId1"/>
    <sheet name=" Račun prihoda i rashoda" sheetId="3" r:id="rId2"/>
    <sheet name="Prihodi i rashodi po izvorima" sheetId="11" r:id="rId3"/>
    <sheet name="Rashodi prema funkcijskoj kl" sheetId="5" r:id="rId4"/>
    <sheet name="Račun financiranja" sheetId="6" r:id="rId5"/>
    <sheet name="POSEBNI DIO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1" l="1"/>
  <c r="C37" i="11" s="1"/>
  <c r="C53" i="11"/>
  <c r="F378" i="7"/>
  <c r="C11" i="11"/>
  <c r="C10" i="11" s="1"/>
  <c r="C27" i="11"/>
  <c r="G383" i="7" l="1"/>
  <c r="G280" i="7" l="1"/>
  <c r="G275" i="7"/>
  <c r="G268" i="7"/>
  <c r="G267" i="7"/>
  <c r="G260" i="7"/>
  <c r="G253" i="7"/>
  <c r="G247" i="7"/>
  <c r="G240" i="7"/>
  <c r="G233" i="7"/>
  <c r="G234" i="7"/>
  <c r="G225" i="7"/>
  <c r="G163" i="7"/>
  <c r="G165" i="7"/>
  <c r="G164" i="7"/>
  <c r="G155" i="7"/>
  <c r="G172" i="7"/>
  <c r="G171" i="7"/>
  <c r="G148" i="7"/>
  <c r="F147" i="7"/>
  <c r="F142" i="7"/>
  <c r="G142" i="7" s="1"/>
  <c r="F141" i="7"/>
  <c r="G141" i="7" s="1"/>
  <c r="F140" i="7"/>
  <c r="G140" i="7" s="1"/>
  <c r="G139" i="7"/>
  <c r="F139" i="7" s="1"/>
  <c r="G138" i="7"/>
  <c r="G133" i="7"/>
  <c r="G125" i="7"/>
  <c r="G126" i="7"/>
  <c r="G127" i="7"/>
  <c r="G128" i="7"/>
  <c r="G206" i="7"/>
  <c r="F205" i="7"/>
  <c r="G207" i="7"/>
  <c r="G200" i="7"/>
  <c r="G199" i="7"/>
  <c r="F198" i="7"/>
  <c r="G191" i="7"/>
  <c r="G192" i="7"/>
  <c r="F186" i="7"/>
  <c r="F185" i="7"/>
  <c r="G180" i="7"/>
  <c r="F214" i="7"/>
  <c r="F213" i="7"/>
  <c r="G215" i="7"/>
  <c r="G288" i="7"/>
  <c r="G287" i="7"/>
  <c r="F295" i="7"/>
  <c r="G302" i="7"/>
  <c r="G315" i="7"/>
  <c r="G314" i="7"/>
  <c r="G321" i="7"/>
  <c r="G328" i="7"/>
  <c r="G334" i="7"/>
  <c r="F339" i="7"/>
  <c r="G345" i="7"/>
  <c r="G344" i="7"/>
  <c r="G352" i="7"/>
  <c r="F356" i="7"/>
  <c r="G361" i="7"/>
  <c r="G367" i="7"/>
  <c r="G373" i="7"/>
  <c r="G389" i="7"/>
  <c r="G394" i="7"/>
  <c r="G401" i="7"/>
  <c r="G407" i="7"/>
  <c r="G415" i="7"/>
  <c r="F95" i="7"/>
  <c r="G96" i="7"/>
  <c r="G97" i="7"/>
  <c r="G112" i="7"/>
  <c r="G111" i="7"/>
  <c r="G102" i="7"/>
  <c r="F47" i="7"/>
  <c r="G54" i="7"/>
  <c r="G56" i="7"/>
  <c r="G53" i="7"/>
  <c r="G90" i="7"/>
  <c r="G84" i="7"/>
  <c r="G76" i="7"/>
  <c r="G71" i="7"/>
  <c r="G64" i="7"/>
  <c r="F13" i="7"/>
  <c r="G42" i="7"/>
  <c r="C23" i="5"/>
  <c r="C8" i="5"/>
  <c r="C41" i="5"/>
  <c r="C38" i="5"/>
  <c r="C36" i="5"/>
  <c r="C26" i="5"/>
  <c r="C24" i="5"/>
  <c r="C21" i="5"/>
  <c r="C16" i="5"/>
  <c r="C17" i="5"/>
  <c r="C18" i="5"/>
  <c r="C10" i="5"/>
  <c r="E34" i="3"/>
  <c r="E35" i="3"/>
  <c r="E33" i="3"/>
  <c r="E38" i="3"/>
  <c r="E30" i="3"/>
  <c r="E37" i="3"/>
  <c r="E32" i="3"/>
  <c r="F118" i="7" l="1"/>
  <c r="E29" i="3"/>
  <c r="E28" i="3" s="1"/>
  <c r="G19" i="1"/>
  <c r="G16" i="1"/>
  <c r="F29" i="1"/>
  <c r="G22" i="1" l="1"/>
  <c r="E19" i="3" l="1"/>
  <c r="E17" i="3"/>
  <c r="E16" i="3"/>
  <c r="E15" i="3" s="1"/>
  <c r="G417" i="7"/>
  <c r="G416" i="7" s="1"/>
  <c r="G413" i="7" s="1"/>
  <c r="G412" i="7" s="1"/>
  <c r="G410" i="7" s="1"/>
  <c r="G409" i="7"/>
  <c r="G408" i="7" s="1"/>
  <c r="G405" i="7" s="1"/>
  <c r="G404" i="7" s="1"/>
  <c r="G403" i="7"/>
  <c r="G402" i="7" s="1"/>
  <c r="G399" i="7" s="1"/>
  <c r="G398" i="7" s="1"/>
  <c r="G397" i="7"/>
  <c r="G396" i="7"/>
  <c r="G395" i="7" s="1"/>
  <c r="G392" i="7" s="1"/>
  <c r="G391" i="7"/>
  <c r="G390" i="7" s="1"/>
  <c r="G387" i="7" s="1"/>
  <c r="F385" i="7"/>
  <c r="G385" i="7" s="1"/>
  <c r="G386" i="7"/>
  <c r="G375" i="7"/>
  <c r="G374" i="7" s="1"/>
  <c r="G371" i="7" s="1"/>
  <c r="G370" i="7" s="1"/>
  <c r="G363" i="7"/>
  <c r="G362" i="7" s="1"/>
  <c r="G358" i="7" s="1"/>
  <c r="G357" i="7" s="1"/>
  <c r="G369" i="7"/>
  <c r="G368" i="7" s="1"/>
  <c r="G365" i="7" s="1"/>
  <c r="G364" i="7" s="1"/>
  <c r="G354" i="7"/>
  <c r="G353" i="7" s="1"/>
  <c r="G350" i="7" s="1"/>
  <c r="G349" i="7" s="1"/>
  <c r="G348" i="7"/>
  <c r="G347" i="7"/>
  <c r="G336" i="7"/>
  <c r="G330" i="7"/>
  <c r="G329" i="7" s="1"/>
  <c r="G325" i="7" s="1"/>
  <c r="G324" i="7" s="1"/>
  <c r="G323" i="7"/>
  <c r="G322" i="7" s="1"/>
  <c r="G319" i="7" s="1"/>
  <c r="G318" i="7"/>
  <c r="G317" i="7"/>
  <c r="G309" i="7"/>
  <c r="G308" i="7" s="1"/>
  <c r="G306" i="7"/>
  <c r="G307" i="7"/>
  <c r="G305" i="7"/>
  <c r="G293" i="7"/>
  <c r="G292" i="7"/>
  <c r="G291" i="7" s="1"/>
  <c r="G290" i="7"/>
  <c r="G289" i="7" s="1"/>
  <c r="G283" i="7"/>
  <c r="G282" i="7" s="1"/>
  <c r="G278" i="7" s="1"/>
  <c r="G281" i="7" s="1"/>
  <c r="F277" i="7"/>
  <c r="G277" i="7" s="1"/>
  <c r="G276" i="7" s="1"/>
  <c r="G273" i="7" s="1"/>
  <c r="G272" i="7"/>
  <c r="G271" i="7" s="1"/>
  <c r="G270" i="7"/>
  <c r="G269" i="7" s="1"/>
  <c r="G262" i="7"/>
  <c r="G261" i="7" s="1"/>
  <c r="G258" i="7" s="1"/>
  <c r="F255" i="7"/>
  <c r="G255" i="7" s="1"/>
  <c r="G256" i="7"/>
  <c r="G249" i="7"/>
  <c r="G248" i="7" s="1"/>
  <c r="G245" i="7" s="1"/>
  <c r="F243" i="7"/>
  <c r="G243" i="7" s="1"/>
  <c r="G244" i="7"/>
  <c r="G236" i="7"/>
  <c r="G235" i="7" s="1"/>
  <c r="G230" i="7" s="1"/>
  <c r="G228" i="7" s="1"/>
  <c r="G227" i="7"/>
  <c r="G222" i="7"/>
  <c r="G221" i="7" s="1"/>
  <c r="G218" i="7" s="1"/>
  <c r="G217" i="7"/>
  <c r="G216" i="7" s="1"/>
  <c r="G210" i="7" s="1"/>
  <c r="G209" i="7"/>
  <c r="G208" i="7" s="1"/>
  <c r="G203" i="7" s="1"/>
  <c r="G202" i="7"/>
  <c r="G201" i="7" s="1"/>
  <c r="G195" i="7" s="1"/>
  <c r="G194" i="7"/>
  <c r="G193" i="7" s="1"/>
  <c r="G189" i="7" s="1"/>
  <c r="G188" i="7"/>
  <c r="G187" i="7" s="1"/>
  <c r="G183" i="7" s="1"/>
  <c r="G182" i="7"/>
  <c r="G181" i="7" s="1"/>
  <c r="G176" i="7" s="1"/>
  <c r="G174" i="7"/>
  <c r="G173" i="7" s="1"/>
  <c r="G168" i="7" s="1"/>
  <c r="G167" i="7"/>
  <c r="G166" i="7" s="1"/>
  <c r="G161" i="7" s="1"/>
  <c r="G160" i="7"/>
  <c r="G159" i="7" s="1"/>
  <c r="G151" i="7" s="1"/>
  <c r="G150" i="7"/>
  <c r="G149" i="7" s="1"/>
  <c r="G145" i="7" s="1"/>
  <c r="F144" i="7"/>
  <c r="G144" i="7" s="1"/>
  <c r="G143" i="7" s="1"/>
  <c r="G136" i="7" s="1"/>
  <c r="G135" i="7"/>
  <c r="G134" i="7" s="1"/>
  <c r="G131" i="7" s="1"/>
  <c r="G130" i="7"/>
  <c r="G114" i="7"/>
  <c r="G113" i="7" s="1"/>
  <c r="G109" i="7" s="1"/>
  <c r="G108" i="7" s="1"/>
  <c r="G105" i="7"/>
  <c r="F104" i="7"/>
  <c r="F99" i="7" s="1"/>
  <c r="F98" i="7" s="1"/>
  <c r="E104" i="7"/>
  <c r="G107" i="7"/>
  <c r="G106" i="7"/>
  <c r="G93" i="7"/>
  <c r="G92" i="7"/>
  <c r="G86" i="7"/>
  <c r="G85" i="7" s="1"/>
  <c r="G81" i="7" s="1"/>
  <c r="G80" i="7" s="1"/>
  <c r="F79" i="7"/>
  <c r="G79" i="7" s="1"/>
  <c r="G78" i="7" s="1"/>
  <c r="G74" i="7" s="1"/>
  <c r="G73" i="7"/>
  <c r="G72" i="7" s="1"/>
  <c r="G69" i="7" s="1"/>
  <c r="G68" i="7"/>
  <c r="G67" i="7" s="1"/>
  <c r="G62" i="7" s="1"/>
  <c r="F60" i="7"/>
  <c r="G60" i="7" s="1"/>
  <c r="F59" i="7"/>
  <c r="G59" i="7" s="1"/>
  <c r="G61" i="7"/>
  <c r="F44" i="7"/>
  <c r="F43" i="7" s="1"/>
  <c r="F40" i="7" s="1"/>
  <c r="F39" i="7" s="1"/>
  <c r="F38" i="7"/>
  <c r="G38" i="7" s="1"/>
  <c r="G37" i="7" s="1"/>
  <c r="G33" i="7" s="1"/>
  <c r="G35" i="7" s="1"/>
  <c r="F67" i="7"/>
  <c r="F62" i="7" s="1"/>
  <c r="F72" i="7"/>
  <c r="F69" i="7" s="1"/>
  <c r="F85" i="7"/>
  <c r="F81" i="7" s="1"/>
  <c r="F80" i="7" s="1"/>
  <c r="F91" i="7"/>
  <c r="F88" i="7" s="1"/>
  <c r="F87" i="7" s="1"/>
  <c r="F113" i="7"/>
  <c r="F109" i="7" s="1"/>
  <c r="F108" i="7" s="1"/>
  <c r="F129" i="7"/>
  <c r="G129" i="7"/>
  <c r="G121" i="7" s="1"/>
  <c r="F134" i="7"/>
  <c r="F131" i="7" s="1"/>
  <c r="F149" i="7"/>
  <c r="F145" i="7" s="1"/>
  <c r="F159" i="7"/>
  <c r="F151" i="7" s="1"/>
  <c r="F166" i="7"/>
  <c r="F161" i="7" s="1"/>
  <c r="F173" i="7"/>
  <c r="F168" i="7" s="1"/>
  <c r="F181" i="7"/>
  <c r="F176" i="7" s="1"/>
  <c r="F187" i="7"/>
  <c r="F183" i="7" s="1"/>
  <c r="F193" i="7"/>
  <c r="F189" i="7" s="1"/>
  <c r="F201" i="7"/>
  <c r="F195" i="7" s="1"/>
  <c r="F208" i="7"/>
  <c r="F203" i="7" s="1"/>
  <c r="F216" i="7"/>
  <c r="F210" i="7" s="1"/>
  <c r="F221" i="7"/>
  <c r="F218" i="7" s="1"/>
  <c r="F226" i="7"/>
  <c r="F223" i="7" s="1"/>
  <c r="G226" i="7"/>
  <c r="G223" i="7" s="1"/>
  <c r="F235" i="7"/>
  <c r="F230" i="7" s="1"/>
  <c r="F228" i="7" s="1"/>
  <c r="F248" i="7"/>
  <c r="F245" i="7" s="1"/>
  <c r="F261" i="7"/>
  <c r="F258" i="7" s="1"/>
  <c r="F269" i="7"/>
  <c r="F271" i="7"/>
  <c r="F282" i="7"/>
  <c r="F278" i="7" s="1"/>
  <c r="F289" i="7"/>
  <c r="F291" i="7"/>
  <c r="F304" i="7"/>
  <c r="F308" i="7"/>
  <c r="F316" i="7"/>
  <c r="F311" i="7" s="1"/>
  <c r="F322" i="7"/>
  <c r="F319" i="7" s="1"/>
  <c r="F329" i="7"/>
  <c r="F325" i="7" s="1"/>
  <c r="F324" i="7" s="1"/>
  <c r="F335" i="7"/>
  <c r="F332" i="7" s="1"/>
  <c r="F331" i="7" s="1"/>
  <c r="G335" i="7"/>
  <c r="G332" i="7" s="1"/>
  <c r="G331" i="7" s="1"/>
  <c r="F346" i="7"/>
  <c r="F342" i="7" s="1"/>
  <c r="F341" i="7" s="1"/>
  <c r="F353" i="7"/>
  <c r="F350" i="7" s="1"/>
  <c r="F349" i="7" s="1"/>
  <c r="F362" i="7"/>
  <c r="F358" i="7" s="1"/>
  <c r="F357" i="7" s="1"/>
  <c r="F368" i="7"/>
  <c r="F365" i="7" s="1"/>
  <c r="F364" i="7" s="1"/>
  <c r="F374" i="7"/>
  <c r="F371" i="7" s="1"/>
  <c r="F370" i="7" s="1"/>
  <c r="F390" i="7"/>
  <c r="F387" i="7" s="1"/>
  <c r="F395" i="7"/>
  <c r="F392" i="7" s="1"/>
  <c r="F402" i="7"/>
  <c r="F399" i="7" s="1"/>
  <c r="F398" i="7" s="1"/>
  <c r="F408" i="7"/>
  <c r="F405" i="7" s="1"/>
  <c r="F404" i="7" s="1"/>
  <c r="F416" i="7"/>
  <c r="F413" i="7" s="1"/>
  <c r="F412" i="7" s="1"/>
  <c r="F410" i="7" s="1"/>
  <c r="F121" i="7"/>
  <c r="G32" i="7"/>
  <c r="G31" i="7" s="1"/>
  <c r="G28" i="7" s="1"/>
  <c r="F31" i="7"/>
  <c r="F28" i="7" s="1"/>
  <c r="G27" i="7"/>
  <c r="G26" i="7"/>
  <c r="F25" i="7"/>
  <c r="G20" i="7"/>
  <c r="G21" i="7"/>
  <c r="G19" i="7"/>
  <c r="F15" i="7"/>
  <c r="F242" i="7" l="1"/>
  <c r="F238" i="7" s="1"/>
  <c r="G316" i="7"/>
  <c r="G311" i="7" s="1"/>
  <c r="G310" i="7" s="1"/>
  <c r="G304" i="7"/>
  <c r="G384" i="7"/>
  <c r="G380" i="7" s="1"/>
  <c r="F276" i="7"/>
  <c r="F273" i="7" s="1"/>
  <c r="F78" i="7"/>
  <c r="F74" i="7" s="1"/>
  <c r="F254" i="7"/>
  <c r="F251" i="7" s="1"/>
  <c r="F250" i="7" s="1"/>
  <c r="F143" i="7"/>
  <c r="F136" i="7" s="1"/>
  <c r="F120" i="7" s="1"/>
  <c r="G346" i="7"/>
  <c r="G342" i="7" s="1"/>
  <c r="G341" i="7" s="1"/>
  <c r="G337" i="7" s="1"/>
  <c r="F384" i="7"/>
  <c r="F380" i="7" s="1"/>
  <c r="F379" i="7" s="1"/>
  <c r="F376" i="7" s="1"/>
  <c r="F299" i="7"/>
  <c r="F298" i="7" s="1"/>
  <c r="G104" i="7"/>
  <c r="G99" i="7" s="1"/>
  <c r="G98" i="7" s="1"/>
  <c r="G94" i="7" s="1"/>
  <c r="G18" i="7"/>
  <c r="G15" i="7" s="1"/>
  <c r="F285" i="7"/>
  <c r="F284" i="7" s="1"/>
  <c r="F58" i="7"/>
  <c r="F51" i="7" s="1"/>
  <c r="G254" i="7"/>
  <c r="G251" i="7" s="1"/>
  <c r="G250" i="7" s="1"/>
  <c r="F22" i="7"/>
  <c r="F24" i="7"/>
  <c r="G299" i="7"/>
  <c r="G298" i="7" s="1"/>
  <c r="G285" i="7"/>
  <c r="G284" i="7" s="1"/>
  <c r="F263" i="7"/>
  <c r="F257" i="7" s="1"/>
  <c r="G263" i="7"/>
  <c r="G257" i="7" s="1"/>
  <c r="F237" i="7"/>
  <c r="G242" i="7"/>
  <c r="G238" i="7" s="1"/>
  <c r="G237" i="7" s="1"/>
  <c r="F175" i="7"/>
  <c r="G175" i="7"/>
  <c r="G91" i="7"/>
  <c r="G88" i="7" s="1"/>
  <c r="G87" i="7" s="1"/>
  <c r="F37" i="7"/>
  <c r="F33" i="7" s="1"/>
  <c r="F35" i="7" s="1"/>
  <c r="G44" i="7"/>
  <c r="G43" i="7" s="1"/>
  <c r="G40" i="7" s="1"/>
  <c r="G39" i="7" s="1"/>
  <c r="G58" i="7"/>
  <c r="G51" i="7" s="1"/>
  <c r="G50" i="7" s="1"/>
  <c r="G120" i="7"/>
  <c r="F310" i="7"/>
  <c r="G355" i="7"/>
  <c r="F355" i="7"/>
  <c r="F337" i="7"/>
  <c r="F94" i="7"/>
  <c r="G25" i="7"/>
  <c r="G22" i="7" s="1"/>
  <c r="G14" i="7" s="1"/>
  <c r="G43" i="6"/>
  <c r="G379" i="7" l="1"/>
  <c r="G376" i="7" s="1"/>
  <c r="G382" i="7"/>
  <c r="F382" i="7" s="1"/>
  <c r="F377" i="7" s="1"/>
  <c r="G294" i="7"/>
  <c r="G11" i="7"/>
  <c r="G10" i="7" s="1"/>
  <c r="F50" i="7"/>
  <c r="F46" i="7" s="1"/>
  <c r="F294" i="7"/>
  <c r="F14" i="7"/>
  <c r="G46" i="7"/>
  <c r="F12" i="7"/>
  <c r="G24" i="7"/>
  <c r="F11" i="7"/>
  <c r="F10" i="7" s="1"/>
  <c r="F115" i="7"/>
  <c r="G115" i="7"/>
  <c r="F42" i="6"/>
  <c r="G42" i="6"/>
  <c r="E42" i="6"/>
  <c r="E118" i="7"/>
  <c r="G118" i="7" s="1"/>
  <c r="G45" i="7" l="1"/>
  <c r="G9" i="7" s="1"/>
  <c r="F45" i="7"/>
  <c r="F9" i="7" s="1"/>
  <c r="D43" i="5"/>
  <c r="D40" i="5"/>
  <c r="D36" i="5"/>
  <c r="D37" i="5"/>
  <c r="D38" i="5"/>
  <c r="D35" i="5"/>
  <c r="D31" i="5"/>
  <c r="D32" i="5"/>
  <c r="D33" i="5"/>
  <c r="D30" i="5"/>
  <c r="D28" i="5"/>
  <c r="D24" i="5"/>
  <c r="D26" i="5"/>
  <c r="D20" i="5"/>
  <c r="D14" i="5"/>
  <c r="D12" i="5"/>
  <c r="D9" i="5"/>
  <c r="D46" i="11"/>
  <c r="D47" i="11"/>
  <c r="D48" i="11"/>
  <c r="D49" i="11"/>
  <c r="D45" i="11"/>
  <c r="D43" i="11"/>
  <c r="D39" i="11"/>
  <c r="D38" i="11"/>
  <c r="C18" i="11"/>
  <c r="D27" i="11"/>
  <c r="D20" i="11"/>
  <c r="D21" i="11"/>
  <c r="D22" i="11"/>
  <c r="D23" i="11"/>
  <c r="D19" i="11"/>
  <c r="D16" i="11"/>
  <c r="F22" i="3"/>
  <c r="F18" i="3"/>
  <c r="F19" i="3"/>
  <c r="F20" i="3"/>
  <c r="F16" i="3"/>
  <c r="F38" i="3"/>
  <c r="F30" i="3"/>
  <c r="F31" i="3"/>
  <c r="F32" i="3"/>
  <c r="F33" i="3"/>
  <c r="F34" i="3"/>
  <c r="F35" i="3"/>
  <c r="F29" i="3"/>
  <c r="H35" i="1" l="1"/>
  <c r="H20" i="1"/>
  <c r="H18" i="1"/>
  <c r="E411" i="7"/>
  <c r="G411" i="7" s="1"/>
  <c r="E378" i="7"/>
  <c r="G378" i="7" s="1"/>
  <c r="E377" i="7"/>
  <c r="G377" i="7" s="1"/>
  <c r="E356" i="7"/>
  <c r="G356" i="7" s="1"/>
  <c r="E340" i="7"/>
  <c r="G340" i="7" s="1"/>
  <c r="E339" i="7"/>
  <c r="G339" i="7" s="1"/>
  <c r="E296" i="7"/>
  <c r="G296" i="7" s="1"/>
  <c r="E295" i="7"/>
  <c r="G295" i="7" s="1"/>
  <c r="E49" i="7" l="1"/>
  <c r="G49" i="7" s="1"/>
  <c r="E13" i="7"/>
  <c r="G13" i="7" s="1"/>
  <c r="E12" i="7"/>
  <c r="G12" i="7" s="1"/>
  <c r="B53" i="11" l="1"/>
  <c r="D53" i="11" s="1"/>
  <c r="E55" i="7"/>
  <c r="E103" i="7"/>
  <c r="E303" i="7"/>
  <c r="B13" i="11"/>
  <c r="D13" i="11" s="1"/>
  <c r="B40" i="11"/>
  <c r="B37" i="11" s="1"/>
  <c r="E57" i="7"/>
  <c r="G57" i="7" s="1"/>
  <c r="B50" i="11"/>
  <c r="B24" i="11"/>
  <c r="E170" i="7"/>
  <c r="F170" i="7" s="1"/>
  <c r="E138" i="7"/>
  <c r="F138" i="7" s="1"/>
  <c r="F117" i="7" s="1"/>
  <c r="E124" i="7"/>
  <c r="G124" i="7" s="1"/>
  <c r="E207" i="7"/>
  <c r="F207" i="7" l="1"/>
  <c r="E117" i="7"/>
  <c r="G117" i="7" s="1"/>
  <c r="E95" i="7"/>
  <c r="G95" i="7" s="1"/>
  <c r="G103" i="7"/>
  <c r="E47" i="7"/>
  <c r="G47" i="7" s="1"/>
  <c r="G55" i="7"/>
  <c r="E297" i="7"/>
  <c r="G297" i="7" s="1"/>
  <c r="G303" i="7"/>
  <c r="D40" i="11"/>
  <c r="D37" i="11" s="1"/>
  <c r="B18" i="11"/>
  <c r="D24" i="11"/>
  <c r="D18" i="11" s="1"/>
  <c r="B44" i="11"/>
  <c r="D50" i="11"/>
  <c r="E48" i="7"/>
  <c r="G48" i="7" s="1"/>
  <c r="E215" i="7"/>
  <c r="F215" i="7" l="1"/>
  <c r="F119" i="7" s="1"/>
  <c r="C44" i="11"/>
  <c r="D44" i="11"/>
  <c r="F21" i="1"/>
  <c r="D37" i="3"/>
  <c r="B52" i="11"/>
  <c r="D52" i="11" s="1"/>
  <c r="B23" i="5"/>
  <c r="D23" i="5" s="1"/>
  <c r="F17" i="1"/>
  <c r="D17" i="3"/>
  <c r="B26" i="11"/>
  <c r="D26" i="11" s="1"/>
  <c r="E36" i="3"/>
  <c r="C29" i="5"/>
  <c r="D29" i="5"/>
  <c r="B29" i="5"/>
  <c r="C34" i="5"/>
  <c r="D34" i="5"/>
  <c r="B34" i="5"/>
  <c r="C39" i="5"/>
  <c r="B41" i="5"/>
  <c r="D41" i="5" s="1"/>
  <c r="C19" i="5"/>
  <c r="B21" i="5"/>
  <c r="B25" i="5"/>
  <c r="D25" i="5" s="1"/>
  <c r="B16" i="5"/>
  <c r="D16" i="5" s="1"/>
  <c r="B17" i="5"/>
  <c r="D17" i="5" s="1"/>
  <c r="B42" i="5"/>
  <c r="D42" i="5" s="1"/>
  <c r="B18" i="5"/>
  <c r="D18" i="5" s="1"/>
  <c r="B10" i="5"/>
  <c r="D10" i="5" s="1"/>
  <c r="B8" i="5"/>
  <c r="D8" i="5" s="1"/>
  <c r="F17" i="3" l="1"/>
  <c r="F15" i="3" s="1"/>
  <c r="D15" i="3"/>
  <c r="H21" i="1"/>
  <c r="H19" i="1" s="1"/>
  <c r="F19" i="1"/>
  <c r="H17" i="1"/>
  <c r="H16" i="1" s="1"/>
  <c r="F16" i="1"/>
  <c r="D36" i="3"/>
  <c r="F37" i="3"/>
  <c r="F36" i="3" s="1"/>
  <c r="D39" i="5"/>
  <c r="D15" i="5"/>
  <c r="B19" i="5"/>
  <c r="D21" i="5"/>
  <c r="D19" i="5" s="1"/>
  <c r="B15" i="5"/>
  <c r="C7" i="5"/>
  <c r="D7" i="5"/>
  <c r="C15" i="5"/>
  <c r="C22" i="5"/>
  <c r="D22" i="5"/>
  <c r="B7" i="5"/>
  <c r="B39" i="5"/>
  <c r="B22" i="5"/>
  <c r="C51" i="11"/>
  <c r="E31" i="7"/>
  <c r="E28" i="7" s="1"/>
  <c r="E37" i="7"/>
  <c r="E33" i="7" s="1"/>
  <c r="E58" i="7"/>
  <c r="E181" i="7"/>
  <c r="E176" i="7" s="1"/>
  <c r="E193" i="7"/>
  <c r="E189" i="7" s="1"/>
  <c r="E316" i="7"/>
  <c r="F22" i="1" l="1"/>
  <c r="F37" i="1" s="1"/>
  <c r="H22" i="1"/>
  <c r="B12" i="11"/>
  <c r="D12" i="11" s="1"/>
  <c r="B11" i="11"/>
  <c r="D11" i="11" l="1"/>
  <c r="D10" i="11" s="1"/>
  <c r="B10" i="11"/>
  <c r="F30" i="1"/>
  <c r="B11" i="5" l="1"/>
  <c r="C11" i="5"/>
  <c r="D11" i="5"/>
  <c r="B51" i="11"/>
  <c r="D51" i="11"/>
  <c r="B27" i="5" l="1"/>
  <c r="C27" i="5"/>
  <c r="D27" i="5"/>
  <c r="D13" i="5"/>
  <c r="B13" i="5"/>
  <c r="B6" i="5" s="1"/>
  <c r="C13" i="5"/>
  <c r="D6" i="5" l="1"/>
  <c r="C6" i="5"/>
  <c r="B42" i="11"/>
  <c r="B36" i="11" s="1"/>
  <c r="C42" i="11"/>
  <c r="D42" i="11"/>
  <c r="B25" i="11"/>
  <c r="C25" i="11"/>
  <c r="D25" i="11"/>
  <c r="B15" i="11"/>
  <c r="C15" i="11"/>
  <c r="D15" i="11"/>
  <c r="B9" i="11" l="1"/>
  <c r="D36" i="11"/>
  <c r="C36" i="11"/>
  <c r="D9" i="11"/>
  <c r="C9" i="11"/>
  <c r="E416" i="7" l="1"/>
  <c r="E408" i="7"/>
  <c r="E402" i="7"/>
  <c r="E395" i="7"/>
  <c r="E390" i="7"/>
  <c r="E384" i="7"/>
  <c r="E374" i="7"/>
  <c r="E368" i="7"/>
  <c r="E362" i="7"/>
  <c r="E353" i="7"/>
  <c r="E346" i="7"/>
  <c r="E335" i="7"/>
  <c r="E329" i="7"/>
  <c r="E322" i="7"/>
  <c r="E319" i="7" s="1"/>
  <c r="E308" i="7"/>
  <c r="E304" i="7"/>
  <c r="E291" i="7"/>
  <c r="E289" i="7"/>
  <c r="E282" i="7"/>
  <c r="E278" i="7" s="1"/>
  <c r="E276" i="7"/>
  <c r="E273" i="7" s="1"/>
  <c r="E271" i="7"/>
  <c r="E269" i="7"/>
  <c r="E261" i="7"/>
  <c r="E254" i="7"/>
  <c r="E248" i="7"/>
  <c r="E245" i="7" s="1"/>
  <c r="E242" i="7"/>
  <c r="E235" i="7"/>
  <c r="E226" i="7"/>
  <c r="E221" i="7"/>
  <c r="E218" i="7" s="1"/>
  <c r="E220" i="7" s="1"/>
  <c r="E216" i="7"/>
  <c r="E210" i="7" s="1"/>
  <c r="E208" i="7"/>
  <c r="E201" i="7"/>
  <c r="E187" i="7"/>
  <c r="E173" i="7"/>
  <c r="E166" i="7"/>
  <c r="E159" i="7"/>
  <c r="E151" i="7" s="1"/>
  <c r="E149" i="7"/>
  <c r="E145" i="7" s="1"/>
  <c r="E143" i="7"/>
  <c r="E136" i="7" s="1"/>
  <c r="E134" i="7"/>
  <c r="E131" i="7" s="1"/>
  <c r="E129" i="7"/>
  <c r="E113" i="7"/>
  <c r="E109" i="7" s="1"/>
  <c r="E99" i="7"/>
  <c r="E91" i="7"/>
  <c r="E88" i="7" s="1"/>
  <c r="E85" i="7"/>
  <c r="E78" i="7"/>
  <c r="E74" i="7" s="1"/>
  <c r="E72" i="7"/>
  <c r="E69" i="7" s="1"/>
  <c r="E119" i="7" l="1"/>
  <c r="G119" i="7" s="1"/>
  <c r="G220" i="7"/>
  <c r="E67" i="7"/>
  <c r="E62" i="7" s="1"/>
  <c r="E51" i="7"/>
  <c r="E43" i="7"/>
  <c r="E40" i="7" s="1"/>
  <c r="E25" i="7"/>
  <c r="E22" i="7" s="1"/>
  <c r="E18" i="7"/>
  <c r="E39" i="7" l="1"/>
  <c r="E50" i="7"/>
  <c r="F45" i="1" l="1"/>
  <c r="G42" i="1" s="1"/>
  <c r="G45" i="1" s="1"/>
  <c r="H42" i="1" s="1"/>
  <c r="H45" i="1" s="1"/>
  <c r="G29" i="1"/>
  <c r="G37" i="1" l="1"/>
  <c r="G30" i="1"/>
  <c r="H29" i="1"/>
  <c r="D28" i="3"/>
  <c r="F28" i="3"/>
  <c r="E285" i="7"/>
  <c r="E258" i="7"/>
  <c r="E223" i="7"/>
  <c r="E195" i="7"/>
  <c r="E203" i="7"/>
  <c r="H30" i="1" l="1"/>
  <c r="H37" i="1"/>
  <c r="D27" i="3"/>
  <c r="E284" i="7"/>
  <c r="E413" i="7" l="1"/>
  <c r="E405" i="7"/>
  <c r="E399" i="7"/>
  <c r="E398" i="7" s="1"/>
  <c r="E404" i="7" l="1"/>
  <c r="E412" i="7"/>
  <c r="E410" i="7" s="1"/>
  <c r="E392" i="7" l="1"/>
  <c r="E387" i="7"/>
  <c r="E380" i="7"/>
  <c r="E371" i="7"/>
  <c r="E365" i="7"/>
  <c r="E358" i="7"/>
  <c r="E350" i="7"/>
  <c r="E357" i="7" l="1"/>
  <c r="E349" i="7"/>
  <c r="E379" i="7"/>
  <c r="E376" i="7" s="1"/>
  <c r="E370" i="7"/>
  <c r="E364" i="7"/>
  <c r="E342" i="7"/>
  <c r="E332" i="7"/>
  <c r="E325" i="7"/>
  <c r="E311" i="7"/>
  <c r="E263" i="7"/>
  <c r="E257" i="7" s="1"/>
  <c r="E251" i="7"/>
  <c r="E238" i="7"/>
  <c r="E237" i="7" s="1"/>
  <c r="E230" i="7"/>
  <c r="E183" i="7"/>
  <c r="E175" i="7" s="1"/>
  <c r="E168" i="7"/>
  <c r="E161" i="7"/>
  <c r="E121" i="7"/>
  <c r="E108" i="7"/>
  <c r="E98" i="7"/>
  <c r="E87" i="7"/>
  <c r="E81" i="7"/>
  <c r="E15" i="7"/>
  <c r="E14" i="7" s="1"/>
  <c r="E94" i="7" l="1"/>
  <c r="E11" i="7"/>
  <c r="E10" i="7" s="1"/>
  <c r="E355" i="7"/>
  <c r="E250" i="7"/>
  <c r="E228" i="7"/>
  <c r="E80" i="7"/>
  <c r="E331" i="7"/>
  <c r="E324" i="7"/>
  <c r="E310" i="7"/>
  <c r="E120" i="7"/>
  <c r="E341" i="7"/>
  <c r="E337" i="7" s="1"/>
  <c r="E299" i="7"/>
  <c r="E46" i="7" l="1"/>
  <c r="E298" i="7"/>
  <c r="E294" i="7" s="1"/>
  <c r="E115" i="7"/>
  <c r="E45" i="7" l="1"/>
  <c r="E9" i="7" s="1"/>
  <c r="E27" i="3" l="1"/>
  <c r="F27" i="3"/>
  <c r="D21" i="3"/>
  <c r="D14" i="3" s="1"/>
  <c r="E21" i="3"/>
  <c r="E14" i="3" s="1"/>
  <c r="F21" i="3"/>
  <c r="F14" i="3" s="1"/>
</calcChain>
</file>

<file path=xl/sharedStrings.xml><?xml version="1.0" encoding="utf-8"?>
<sst xmlns="http://schemas.openxmlformats.org/spreadsheetml/2006/main" count="657" uniqueCount="326">
  <si>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</si>
  <si>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</si>
  <si>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</si>
  <si>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</si>
  <si>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</si>
  <si>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</si>
  <si>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</si>
  <si>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</si>
  <si>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</si>
  <si>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</si>
  <si>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</si>
  <si>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>Razred</t>
  </si>
  <si>
    <t>Skupina</t>
  </si>
  <si>
    <t>Izvor</t>
  </si>
  <si>
    <t>Prihodi poslovanja</t>
  </si>
  <si>
    <t>Prihodi od poreza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</si>
  <si>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</si>
  <si>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</si>
  <si>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</si>
  <si>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</si>
  <si>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</si>
  <si>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</si>
  <si>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</si>
  <si>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UKUPNI RASHODI</t>
  </si>
  <si>
    <t>01 Opće javne usluge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</si>
  <si>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</si>
  <si>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</si>
  <si>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</si>
  <si>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</si>
  <si>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</si>
  <si>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</si>
  <si>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</si>
  <si>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</si>
  <si>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</si>
  <si>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</si>
  <si>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</si>
  <si>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</si>
  <si>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</si>
  <si>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A) SAŽETAK RAČUNA PRIHODA I RASHODA</t>
  </si>
  <si>
    <t>Rashodi za nabavu proizvedene dugotrajne imovine</t>
  </si>
  <si>
    <t>Prihodi od imovine</t>
  </si>
  <si>
    <t>Naziv</t>
  </si>
  <si>
    <t xml:space="preserve">Pomoći iz inozemstva i od subjekata unutar općeg proračuna </t>
  </si>
  <si>
    <t>Prihodi od prodaje proizvedene dugotrajne imovine</t>
  </si>
  <si>
    <t xml:space="preserve">Prihodi od upravnih i administrativnih pristojbi, pristojbi po posebnim propisima i naknada </t>
  </si>
  <si>
    <t xml:space="preserve">Prihodi od prodaje proizvoda i robe te pruženih usluga, donacija te povrati po protestiranim jamstvima </t>
  </si>
  <si>
    <t>Subvencije</t>
  </si>
  <si>
    <t>Pomoći dane u inozemstvo i unutar općeg proračuna</t>
  </si>
  <si>
    <t xml:space="preserve">Naknade građanima i kućanstvima na temelju osiguranja i druge naknade </t>
  </si>
  <si>
    <t>Ostali rashodi</t>
  </si>
  <si>
    <t xml:space="preserve">Rashodi za dodatna ulaganja na nefinancijskoj imovini </t>
  </si>
  <si>
    <t>03 Javni red i sigurnost</t>
  </si>
  <si>
    <t>05 Zaštita okoliša</t>
  </si>
  <si>
    <t>06 Usluge unaprjeđenja stanovanja i zajednice</t>
  </si>
  <si>
    <t>02 Obrana</t>
  </si>
  <si>
    <t>07 Zdravstvo</t>
  </si>
  <si>
    <t>08 Rekreacija, kultura i religija</t>
  </si>
  <si>
    <t>09 Obrazovanje</t>
  </si>
  <si>
    <t>0911 Predškolsko obrazovanje</t>
  </si>
  <si>
    <t>0912 Osnovnoškolsko obrazovanje</t>
  </si>
  <si>
    <t>092 Srednjoškolsko obrazovanje</t>
  </si>
  <si>
    <t>094 Visoka naobrazba</t>
  </si>
  <si>
    <t>10 Socijalna zaštita</t>
  </si>
  <si>
    <t>RAZDJEL 001 PREDSTAVNIČKA I IZVRŠNA TIJELA</t>
  </si>
  <si>
    <t xml:space="preserve">GLAVA 00101:Predstavnička i izvršna tijela </t>
  </si>
  <si>
    <t>RAZDJEL 002 JEDINSTVENI UPRAVNI ODJEL</t>
  </si>
  <si>
    <t>GLAVA 00201: Jedinstveni upravni odjel</t>
  </si>
  <si>
    <t>GLAVA 00202: Poljoprivreda i poduzetništvo</t>
  </si>
  <si>
    <t>i stočarstva</t>
  </si>
  <si>
    <t xml:space="preserve">GLAVA 00203: Prostorno planiranje, uređenje </t>
  </si>
  <si>
    <t>i komunalne djelatnosti</t>
  </si>
  <si>
    <t>odvodnje i zaštite voda</t>
  </si>
  <si>
    <t>GLAVA 00204: Odgoj i obrazovanje</t>
  </si>
  <si>
    <t>Osnovnoj školi</t>
  </si>
  <si>
    <t>srednjih škola</t>
  </si>
  <si>
    <t xml:space="preserve">GLAVA 00205: ORGANIZACIJA I PROVOĐENJE ZAŠTITE </t>
  </si>
  <si>
    <t>I SPAŠAVANJA</t>
  </si>
  <si>
    <t>GLAVA 00206: REKREACIJA, KULTURA, RELIGIJA</t>
  </si>
  <si>
    <t>sportskih udruga</t>
  </si>
  <si>
    <t>GLAVA 00207: ZDRAVSTVO I SOCIJALNA SKRB</t>
  </si>
  <si>
    <t>GLAVA 00208: POTICANJE RAZVOJA CIVIL. DRUŠTVA</t>
  </si>
  <si>
    <t xml:space="preserve">Rashodi za nabavu proizvedene dugotrajne imovine </t>
  </si>
  <si>
    <t>vodovoda odvodnje</t>
  </si>
  <si>
    <t>Rashodi za dodatna ulaganja na nefinancijskoj imovini</t>
  </si>
  <si>
    <t>Financijski rashodi</t>
  </si>
  <si>
    <t>UKUPNO RASHODI I IZDACI</t>
  </si>
  <si>
    <t>01</t>
  </si>
  <si>
    <t>EUR</t>
  </si>
  <si>
    <t xml:space="preserve">C) PRENESENI VIŠAK ILI PRENESENI MANJAK </t>
  </si>
  <si>
    <t>8 PRIMICI OD FINANCIJSKE IMOVINE I ZADUŽIVANJA</t>
  </si>
  <si>
    <t>5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</si>
  <si>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</si>
  <si>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</si>
  <si>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</si>
  <si>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</si>
  <si>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</si>
  <si>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</si>
  <si>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 xml:space="preserve">RASHODI POSLOVANJA PREMA EKONOMSKOJ KLASIFIKACIJI </t>
  </si>
  <si>
    <t>PRIHODI POSLOVANJA PREMA IZVORIMA FINANCIRANJA</t>
  </si>
  <si>
    <t>RASHODI POSLOVANJA PREMA IZVORIMA FINANCIRANJA</t>
  </si>
  <si>
    <t>B. RAČUN FINANCIRANJA PREMA EKONOMSKOJ KLASIFIKACIJI</t>
  </si>
  <si>
    <t>B. RAČUN FINANCIRANJA PREMA IZVORIMA FINANCIRANJA</t>
  </si>
  <si>
    <t xml:space="preserve">011 Izvršna i zakonodavna tijela </t>
  </si>
  <si>
    <t>016 Opće usluge koje nisu drugdje svrstane</t>
  </si>
  <si>
    <t>042 Poljoprivreda, šumarstvo, ribarstvo i lov</t>
  </si>
  <si>
    <t>041 Opći, ekonomski, trgovački i poslovi vezani uz rad</t>
  </si>
  <si>
    <t>Program 1000: Predstavnička i izvršna vlast</t>
  </si>
  <si>
    <t>Program 1002: Opći, upravni i financ. računovod. poslovi</t>
  </si>
  <si>
    <t xml:space="preserve">Funkcijska klasifikacija 011 Izvršna i zakonodavna tijela </t>
  </si>
  <si>
    <t xml:space="preserve">Funkcijska klasifikacija 016 Opće usluge koje nisu drugdje svrstane </t>
  </si>
  <si>
    <t>Program 1003: Razvoj i sigurnost prometa</t>
  </si>
  <si>
    <t xml:space="preserve">Program 1004: Zapošljavanje osoba na javnim radovima </t>
  </si>
  <si>
    <t>Program 1005: Unaprjeđenje poljoprivrede</t>
  </si>
  <si>
    <t>Program 1006: Unaprjeđenje razvoja turizma</t>
  </si>
  <si>
    <t>Program 1008: Građenje komunalne infrastrukture</t>
  </si>
  <si>
    <t xml:space="preserve">Program 1009: Razvoj i upravljanje sustavom vodoopskrbe, </t>
  </si>
  <si>
    <t>Program 1010: Zaštita i uređenje okoliša</t>
  </si>
  <si>
    <t>Program 1011: Veterinarska zaštita okoliša</t>
  </si>
  <si>
    <t>Program 1012: Izgradnja i održav. ostale infrastrukture</t>
  </si>
  <si>
    <t>Program 1013: Izgradnja i održavanje turističke infrastrukt.</t>
  </si>
  <si>
    <t>Program 1014: Predškolski odgoj</t>
  </si>
  <si>
    <t>Program 1015: Osnovnoškolsko obrazovanje</t>
  </si>
  <si>
    <t>Program 1016: Srednjoškolsko obrazovanje</t>
  </si>
  <si>
    <t>Program 1017: Visoko obrazovanje</t>
  </si>
  <si>
    <t>Program 1018: Protupožarna zaštita</t>
  </si>
  <si>
    <t>Program 1019: Civilna zaštita</t>
  </si>
  <si>
    <t>Program 1020: Javne potrebe u sportu</t>
  </si>
  <si>
    <t>Program 1021: Javne potrebe u kulturi</t>
  </si>
  <si>
    <t>Program 1023: Pomoć obiteljima i kućanstvima</t>
  </si>
  <si>
    <t>Program 1024: Humanitarna skrb kroz udruge građana</t>
  </si>
  <si>
    <t>Program 1025: Primarna zdravstvena zaštita</t>
  </si>
  <si>
    <t>Program 1026: Djelatnost udruga građana</t>
  </si>
  <si>
    <t>Funkcijska klasifikacija 045 Cestovni promet</t>
  </si>
  <si>
    <t>Funkcijska klasifikacija 062 Razvoj zajednice</t>
  </si>
  <si>
    <t>Funkcijska klasifikacija 042 Poljoprivreda, šumarstvo, ribarstvo i lov</t>
  </si>
  <si>
    <t>Funkcijska klasifikacija 041 Opći, ekonomski, trgovački i poslovi vezani uz rad</t>
  </si>
  <si>
    <t>Funkcijska klasifikacija 064 Ulična rasvjeta</t>
  </si>
  <si>
    <t>Funkcijska klasifikacija 062  Razvoj zajednice</t>
  </si>
  <si>
    <t>Funkcijska klasifikacija 063 Opskrba vodom</t>
  </si>
  <si>
    <t>Funkcijska klasifikacija 056 poslovi i usluge zaštite okoliša koji nisu drugdje svrstani</t>
  </si>
  <si>
    <t>Funkcijska klasifikacija 051 Gospodarenje otpadom</t>
  </si>
  <si>
    <t>Funkcijska klasifikacija 056 Poslovi i usluge zaštite okoliša koji nisu drugdje svrstani</t>
  </si>
  <si>
    <t>Funkcijska klasifikacija 066 Rashodi vezani za stanovanje i kom. pogodnosti koji nisu drugdje svrstani</t>
  </si>
  <si>
    <t xml:space="preserve">Funkcijska klasifikacija 091 Predškolsko obrazovanje </t>
  </si>
  <si>
    <t xml:space="preserve">Funkcijska klasifikacija 092 Osnovnoškolsko obrazovanje </t>
  </si>
  <si>
    <t>Funkcijska klasifikacija 094 Visoka naobrazba</t>
  </si>
  <si>
    <t>Funkcijska klasifikacija 032 Usluge protupožarne zaštite</t>
  </si>
  <si>
    <t>Funkcijska klasifikacija 022 Civilna obrana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</si>
  <si>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</si>
  <si>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</si>
  <si>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</si>
  <si>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104 Obitelj i djeca</t>
  </si>
  <si>
    <t>Funkcijska klasifikacija 102 Starost</t>
  </si>
  <si>
    <t>Funkcijska klasifikacija 107 Socijalna pomoć stanovništvu koje nije obuhvaćeno redovnim socijalnim programima</t>
  </si>
  <si>
    <t>Funkcijska klasifikacija 072 Službe za vanjske pacijente</t>
  </si>
  <si>
    <t>Funkcijska klasifikacija 086 Rashodi za rekreaciju, kulturu i religiju koji nisu drugdje svrstani</t>
  </si>
  <si>
    <t>Članak 1.</t>
  </si>
  <si>
    <t>Članak 2.</t>
  </si>
  <si>
    <t>UKUPNO PRIHODI</t>
  </si>
  <si>
    <t>UKUPNO RASHODI</t>
  </si>
  <si>
    <t>C. PRENESENI VIŠAK ILI PRENESENI MANJAK</t>
  </si>
  <si>
    <t>Vlastiti izvori</t>
  </si>
  <si>
    <t>Rezultat poslovanja</t>
  </si>
  <si>
    <t>Članak 3.</t>
  </si>
  <si>
    <t>Članak 4.</t>
  </si>
  <si>
    <t>Članak 5.</t>
  </si>
  <si>
    <t>Program 1022: Sufinanciranje vjerskih zajednica</t>
  </si>
  <si>
    <t xml:space="preserve">Funkcijska klasifikacija 093 Srednjoškolsko obrazovanje </t>
  </si>
  <si>
    <t xml:space="preserve">Aktivnost A100002 Općinsko vijeće i radna tijela Općinskog vijeća </t>
  </si>
  <si>
    <t>Aktivnost A100201 Redovni rad Jedinstvenog upravnog odjela</t>
  </si>
  <si>
    <t xml:space="preserve">Aktivnost A100203 - Izrada dokumentacije </t>
  </si>
  <si>
    <t>Aktivnost A100205 Nabava opreme i namještaja</t>
  </si>
  <si>
    <t xml:space="preserve">Kapitalni projekt KP100301 Sufinanciranje ŽUC </t>
  </si>
  <si>
    <t xml:space="preserve">Aktivnost A100401 Redovni rad osoba na javnim radovima </t>
  </si>
  <si>
    <t xml:space="preserve">Aktivnost A100501 Poticanje poljoprivredne proizvodnje </t>
  </si>
  <si>
    <t>Aktivnost A100601 Subvencije u turizmu</t>
  </si>
  <si>
    <t>Program 1007: Održavanje komunalne infrastrukture</t>
  </si>
  <si>
    <t>Aktivnost A100701 Održavanje  nerazvrstanih</t>
  </si>
  <si>
    <t>cesta</t>
  </si>
  <si>
    <t>Aktivnost A100702 Održavanje čistoće javnih površina</t>
  </si>
  <si>
    <t xml:space="preserve">Aktivnost A100703 Održavanje javnih zelenih površina </t>
  </si>
  <si>
    <t>Aktivnost A100704 Održavanje građevina, uređaja i predmeta javne namjene</t>
  </si>
  <si>
    <t>Aktivnost A100705 Održavanje groblja</t>
  </si>
  <si>
    <t xml:space="preserve">Aktivnost A100706 Održavanje građevina javne odvodnje oborinskih voda </t>
  </si>
  <si>
    <t xml:space="preserve">Aktivnost A100707 Tekuće održavanje mreže javne rasvjete </t>
  </si>
  <si>
    <t>Kapitalni projekt  KP100804 Uređenje križanja ulice Trg slobode i P. Preradovića izradom horizontalnog usporivača</t>
  </si>
  <si>
    <t>Kapitalni projekt KP100805 Izgradnja dijela nerazvrstane ceste, naselje Brodić NC 24</t>
  </si>
  <si>
    <t>Kapitalni projekt KP100901 Izgradnja sekundarnog</t>
  </si>
  <si>
    <t>Aktivnost A101001 Zaštita i uređenje okoliša</t>
  </si>
  <si>
    <t>Aktivnost A101002 Održavanje zatvorenog i saniranog odlagališta otpada Orl</t>
  </si>
  <si>
    <t>Aktivnost A101101 Veterinarske usluge</t>
  </si>
  <si>
    <t xml:space="preserve">Kapitalni projekt KP101201 Izgradnja spremišta komunalne opreme </t>
  </si>
  <si>
    <t>Aktivnost A101202 Kapitalna i tekuća ulaganja u prijevozna sredstva u riječnom prometu</t>
  </si>
  <si>
    <t>Kapitalni projekt KP101301 Izgradnja i održavanje turističke infrastrukture</t>
  </si>
  <si>
    <t>Aktivnost A101401 Redovni rad DV "Košutica"</t>
  </si>
  <si>
    <t xml:space="preserve">Aktivnost A101501 Unaprjeđenje nastave u </t>
  </si>
  <si>
    <t>Aktivnost A101502 Sufinanciranje nabave školske opreme</t>
  </si>
  <si>
    <t xml:space="preserve">Aktivnost A101601 Novčana pomoć  učenicima </t>
  </si>
  <si>
    <t>Aktivnost A101701 Studentske stipendije</t>
  </si>
  <si>
    <t>Aktivnost A101801 Sufinanciranje rada vatrogasnih zajednica i postrojbi</t>
  </si>
  <si>
    <t>Aktivnost A101901 Sufinanciranje rada civilne zaštite i HGSS-a</t>
  </si>
  <si>
    <t xml:space="preserve">Aktivnost A102001 Sufinanciranje programa </t>
  </si>
  <si>
    <t xml:space="preserve">Aktivnost A102101 Sufinanciranje udruga u kulturi  </t>
  </si>
  <si>
    <t>Aktivnost A102201 Sufinanciranje župe i župnog ureda</t>
  </si>
  <si>
    <t>Aktivnost A102301 Pomoć obiteljima</t>
  </si>
  <si>
    <t>Aktivnost A102302 Pokloni djeci za blagdane</t>
  </si>
  <si>
    <t>Aktivnost A102303 Brižne ruke Podravske</t>
  </si>
  <si>
    <t>Aktivnost A102401 Sufinanciranje udruga i društava</t>
  </si>
  <si>
    <t>Aktivnost A102501 Sufinanciranje zdravstvenih usluga</t>
  </si>
  <si>
    <t>Aktivnost A102601 Sufinanciranje projekata</t>
  </si>
  <si>
    <t>Aktivnost A100204 SECAP i strategija urbane zelene površine</t>
  </si>
  <si>
    <t>045 Cestovni promet</t>
  </si>
  <si>
    <t>105 Nezaposlenost</t>
  </si>
  <si>
    <t>Funkcijska klasifikacija 105 Nezaposlenost</t>
  </si>
  <si>
    <t>062 Razvoj zajednice</t>
  </si>
  <si>
    <t>056 Poslovi i usluge zaštite okoliša koji nisu drugdje svrstani</t>
  </si>
  <si>
    <t>064 Ulična rasvjeta</t>
  </si>
  <si>
    <t>063 Opskrba vodom</t>
  </si>
  <si>
    <t>051 Gospodarenje otpadom</t>
  </si>
  <si>
    <t xml:space="preserve">066 Rashodi za stanovanje i kom. pogodnosti koji nisu drugdje svrstani </t>
  </si>
  <si>
    <t xml:space="preserve">032 Usluge protupožarne zaštite </t>
  </si>
  <si>
    <t>022 Civilna obrana</t>
  </si>
  <si>
    <t>081 Službe rekreacije i sporta</t>
  </si>
  <si>
    <t xml:space="preserve">082 Službe kulture </t>
  </si>
  <si>
    <t>084 Religijska i druge službe zajednice</t>
  </si>
  <si>
    <t xml:space="preserve">104 Obitelj i djeca </t>
  </si>
  <si>
    <t>102 Starost</t>
  </si>
  <si>
    <t xml:space="preserve">107 Socijalna pomoć stanovništvu koje nije obuhvaćeno redovnim socijalnim programima </t>
  </si>
  <si>
    <t xml:space="preserve">072 Službe za vanjske pacijente </t>
  </si>
  <si>
    <t xml:space="preserve">086 Rashodi za rekreaciju, kulturu i religiju koji nisu drugdje svrstani </t>
  </si>
  <si>
    <t>PREDSJEDNIK</t>
  </si>
  <si>
    <t>Proračun za 2025.</t>
  </si>
  <si>
    <t>Brojčana oznaka i naziv</t>
  </si>
  <si>
    <t>IZVOR FINANCIRANJA: 01 Opći prihodi i primici</t>
  </si>
  <si>
    <t>1.1 Prihodi od poreza</t>
  </si>
  <si>
    <t>1.2 Prihodi od financijske imovine i kamata</t>
  </si>
  <si>
    <t xml:space="preserve">1.3 Prihodi od nefinancijske imovine </t>
  </si>
  <si>
    <t>IZVOR FINANCIRANJA: 02 Doprinosi</t>
  </si>
  <si>
    <t>IZVOR FINANCIRANJA: 03 Vlastiti prihodi</t>
  </si>
  <si>
    <t>3.1 Vlastiti prihodi proračunski korisnici</t>
  </si>
  <si>
    <t>3.2 Vlastiti prihodi od pruženih usluga</t>
  </si>
  <si>
    <t>IZVOR FINANCIRANJA: 04 Prihodi za posebne namjene</t>
  </si>
  <si>
    <t>4.1 Prihod od grobne naknade</t>
  </si>
  <si>
    <t>4.2 Prihod od komunalne naknade</t>
  </si>
  <si>
    <t>4.3 Prihod od šumskog doprinosa</t>
  </si>
  <si>
    <t>4.4 Prihodi od nefinancijske imovine - koncesije</t>
  </si>
  <si>
    <t>4.5 Prihodi vodnog gospodarstva</t>
  </si>
  <si>
    <t>IZVOR FINANCIRANJA: 05 Pomoći</t>
  </si>
  <si>
    <t>5.1 Pomoći temeljem prijenosa Eu sredstava</t>
  </si>
  <si>
    <t xml:space="preserve">5.2. Pomoći proračunu iz drugih proračuna </t>
  </si>
  <si>
    <t xml:space="preserve">IZVOR FINANCIRANJA: 06 Donacije </t>
  </si>
  <si>
    <t>IZVOR FINANCIRANJA: 08 Namjenski primici od zaduživanja</t>
  </si>
  <si>
    <t>IZVORI FINANCIRANJA: 01 Opći prihodi i primici</t>
  </si>
  <si>
    <t xml:space="preserve">RASHODI UKUPNO </t>
  </si>
  <si>
    <t xml:space="preserve">013 Opće usluge </t>
  </si>
  <si>
    <t xml:space="preserve">109 Aktivnosti socijalne zaštite koje nisu drugdje svrstane </t>
  </si>
  <si>
    <t>Članak 6.</t>
  </si>
  <si>
    <t>Članak 7.</t>
  </si>
  <si>
    <t>Članak 8.</t>
  </si>
  <si>
    <t>Članak 9.</t>
  </si>
  <si>
    <t>Članak 10.</t>
  </si>
  <si>
    <t>Kapitalni projekt KP100806 Uređenje groblja izgradnjom staza</t>
  </si>
  <si>
    <t xml:space="preserve">Program 1027: Društvene manifestacije i promoviranje općine </t>
  </si>
  <si>
    <t>BROJČANA OZNAKA I NAZIV</t>
  </si>
  <si>
    <t xml:space="preserve">Aktivnost  A101203 Održavanje građevinskih objekata u vlasništvu Općine </t>
  </si>
  <si>
    <t>Korisnik: Dječji vrtić "Košutica" Ferdinandovac</t>
  </si>
  <si>
    <t>Kapitalni projekt KP100809 Rekonstrukcija NC u ulici Trepče</t>
  </si>
  <si>
    <t xml:space="preserve">Kapitalni projekt KP100810 Rekonstrukcija sportskih i rekreacijskih prostora </t>
  </si>
  <si>
    <t>Kapitalni projekt KP100811 Uređenje teniskog igrališta</t>
  </si>
  <si>
    <t>Kapitalni projekt KP100812 Izgradnja parkirališta pored dječjeg vrtića</t>
  </si>
  <si>
    <t>Kapitalni projekt KP101202 Uređenje okoliša dječjeg vrtića</t>
  </si>
  <si>
    <t xml:space="preserve">Aktivnost A100001 Djelatnost izvršnog tijela </t>
  </si>
  <si>
    <t>Kapitalni projekt KP100813 Izgradnja biciklističko-pješačke staze u naselju Ferdiandovac - faza II.</t>
  </si>
  <si>
    <t>Izvor financiranja: 5.2. Pomoći proračunu iz drugih proračuna</t>
  </si>
  <si>
    <t>Izvor financiranja: 4.3. Prihod za posebne namjene šumski doprinos</t>
  </si>
  <si>
    <t>4.6 Ostali prihodi po posebnim propisima</t>
  </si>
  <si>
    <t xml:space="preserve">Izvor financiranja: 1.3. Prihodi od nefinancijske imovine </t>
  </si>
  <si>
    <t>Izvor financiranja: 4.1. Prihod za posebne namjene grobna naknada</t>
  </si>
  <si>
    <t>Izvor financiranja: 5.1. Pomoći temeljem prijenosa Eu sredstava</t>
  </si>
  <si>
    <t>Izvor financiranja: 4.2. Prihod za posebne namjene komunalna naknada</t>
  </si>
  <si>
    <t>Izvor financiranja: 4.4. Prihod za posebne namjene koncesije</t>
  </si>
  <si>
    <t>Izvor financiranja: 4.6. Prihod za posebne namjene po posebnim propisima</t>
  </si>
  <si>
    <t>Izvor financiranja: 4.5. Prihod za posebne namjene vodni doprinos</t>
  </si>
  <si>
    <t>Izvor financiranja: 4.2. Prihod za posebne namjene kom. naknada</t>
  </si>
  <si>
    <t xml:space="preserve">Izvor financiranja: 3.1. Vlastiti prihodi </t>
  </si>
  <si>
    <t xml:space="preserve">Izvor financiranja: 1.2.Prihodi od financijske imovine i kamata </t>
  </si>
  <si>
    <t>Izvor financiranja: 1.1. Prihodi od poreza</t>
  </si>
  <si>
    <t xml:space="preserve">Izvor financiranja 01 Opći prihodi i primici </t>
  </si>
  <si>
    <t xml:space="preserve">Izvor financiranja 05 Pomoći </t>
  </si>
  <si>
    <t xml:space="preserve">Izvor financiranja 04 Prihod za posebne namjene </t>
  </si>
  <si>
    <t>Izvor financiranja 03 Vlastiti prihodi</t>
  </si>
  <si>
    <t>Aktivnost A100003 Predsjednički izbori</t>
  </si>
  <si>
    <t>Aktivnost A100004 Izbori za lokalnu samoupravu</t>
  </si>
  <si>
    <t xml:space="preserve">          U Računu financiranja iskazani su primici i izdaci prema ekonomskoj klasifikaciji kako slijedi:</t>
  </si>
  <si>
    <t xml:space="preserve">          U Računu financiranja iskazani su primici i izdaci prema izvorima financiranja kako slijedi:</t>
  </si>
  <si>
    <t xml:space="preserve">          Raspoloživa sredstva iz prethodnih godina (višak/manjak prihoda) prema ekonomskoj klasifikaciji planirana su kako slijedi:</t>
  </si>
  <si>
    <t>I. IZMJENE I DOPUNE PRORAČUNA OPĆINE FERDINANDOVAC ZA 2025. I PROJEKCIJE ZA 2026. I 2027. GODINU</t>
  </si>
  <si>
    <t>Povećanje / smanjenje</t>
  </si>
  <si>
    <t>Novi plan Proračuna za 2025.</t>
  </si>
  <si>
    <t xml:space="preserve">      U Proračunu Općine Ferdinandovac za 2025. i projekcijama za 2026. i 2027. godinu ("Službeni glasnik Koprivničko - križevačke županije" broj 28/24) (u daljnjem tekstu:</t>
  </si>
  <si>
    <t xml:space="preserve">A. RAČUN PRIHODA I RASHODA </t>
  </si>
  <si>
    <t xml:space="preserve">          U Računu prihoda i rashoda iskazani su prihodi poslovanja i prihodi od prodaje nefinancijske imovine te rashodi poslovanja i rashodi za nabavu nefinancijske imovine prema izvorima financiranja kako slijedi:</t>
  </si>
  <si>
    <t>i izdataka po pojedinim nositeljima, korisnicima i programima kako slijedi:</t>
  </si>
  <si>
    <t>Novi plan Proračuna za 2025</t>
  </si>
  <si>
    <t>Proračun),  u članku 1. mijenjaju se: A. Račun prihoda i rashoda, B. Račun financiranja, C. Preneseni višak ili manjak i D. Višegodišnji plan uravnoteženja, kako slijedi:</t>
  </si>
  <si>
    <t xml:space="preserve">Ukupan donos viška/manjka iz prethodne(ih) godine </t>
  </si>
  <si>
    <t>županije".</t>
  </si>
  <si>
    <t xml:space="preserve">       U Računu prihoda i rashoda iskazani su prihodi poslovanja i prihodi od prodaje nefinancijske imovine te rashodi poslovanja i rashodi za nabavu nefinancijske imovine </t>
  </si>
  <si>
    <t xml:space="preserve">       U članku 2. Prihodi i rashodi te primici i izdaci po ekonomskoj klasifikaciji utvrđeni u A) Računu prihoda i rashoda i B) Računu financiranja  mijenjaju se u A) Računu </t>
  </si>
  <si>
    <t>prihoda i rashoda i B) Računu financiranja, kako slijedi:</t>
  </si>
  <si>
    <t xml:space="preserve">IZVOR FINANCIRANJA: 07 Prihodi od prodaje ili zamjene nefinancijske imovine </t>
  </si>
  <si>
    <t xml:space="preserve"> i naknade s naslova osiguranja</t>
  </si>
  <si>
    <t>i naknade s naslova osiguranja</t>
  </si>
  <si>
    <t>prema ekonomskoj klasifikaciji i prema izvorima financiranja.</t>
  </si>
  <si>
    <t xml:space="preserve">     Rashodi prema funkcijskoj klasifikaciji planirani u A) Računu prihoda i rashoda mijenjaju se kako slijedi:</t>
  </si>
  <si>
    <t xml:space="preserve">         Ove I. Izmjene i dopune Proračuna stupaju na snagu prvog dana od dana objave u "Službenom glasniku Koprivničko-križevačke </t>
  </si>
  <si>
    <t xml:space="preserve">        U članku 8. brojka "2.244.186,00" zamijenjuje se brojkom "2.177.461,03" te se provode I. Izmjene i dopune rashoda</t>
  </si>
  <si>
    <t xml:space="preserve">Aktivnost A102701 Proslava Dana Općine i ostale godišnje manifestacije </t>
  </si>
  <si>
    <t>Vjekoslav Grguljaš</t>
  </si>
  <si>
    <t xml:space="preserve">          Obrazloženje I. Izmjena i dopuna Proračuna sastoji se od obrazloženja općeg i posebnog dijela proračuna i njegov je sastavni dio.</t>
  </si>
  <si>
    <t>III ZAVRŠNA ODREDBA</t>
  </si>
  <si>
    <t>KLASA: 400-05/24-01/2</t>
  </si>
  <si>
    <t>OPĆINSKO VIJEĆE OPĆINE FERDINANDOVAC</t>
  </si>
  <si>
    <t xml:space="preserve">           Na temelju članka 45. Zakona o proračunu ("Narodne novine 144/21") i članka 31. Statuta Općine Ferdinandovac ("Službeni glasnik Koprivničko-križevačke županije" broj 6/13, 1/18, 5/20. i 4/21), Općinsko vijeće Općine Ferdinandovac na 2. sjednici održanoj 18. lipnja 2025. godine donijelo je</t>
  </si>
  <si>
    <t>URBROJ: 2137-15-25-6</t>
  </si>
  <si>
    <t>Ferdinandovac, 18. lipnja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</si>
</sst>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i/>
      <u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9">
    <xf numFmtId="0" fontId="0" fillId="0" borderId="0" xfId="0"/>
    <xf numFmtId="4" fontId="2" fillId="0" borderId="0" xfId="0" applyNumberFormat="1" applyFont="1"/>
    <xf numFmtId="0" fontId="4" fillId="0" borderId="0" xfId="0" applyFont="1"/>
    <xf numFmtId="49" fontId="5" fillId="2" borderId="3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/>
    </xf>
    <xf numFmtId="49" fontId="2" fillId="2" borderId="3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9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/>
    </xf>
    <xf numFmtId="49" fontId="4" fillId="0" borderId="3" xfId="0" applyNumberFormat="1" applyFont="1" applyBorder="1"/>
    <xf numFmtId="49" fontId="4" fillId="0" borderId="3" xfId="0" applyNumberFormat="1" applyFont="1" applyBorder="1" applyAlignment="1">
      <alignment wrapText="1"/>
    </xf>
    <xf numFmtId="4" fontId="6" fillId="2" borderId="0" xfId="0" applyNumberFormat="1" applyFont="1" applyFill="1" applyAlignment="1">
      <alignment horizontal="right"/>
    </xf>
    <xf numFmtId="4" fontId="4" fillId="0" borderId="3" xfId="0" applyNumberFormat="1" applyFont="1" applyBorder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3" fillId="0" borderId="1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horizontal="right"/>
    </xf>
    <xf numFmtId="4" fontId="4" fillId="0" borderId="0" xfId="0" applyNumberFormat="1" applyFont="1"/>
    <xf numFmtId="4" fontId="3" fillId="0" borderId="3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4" fontId="3" fillId="0" borderId="3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0" xfId="0" applyFont="1"/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0" fontId="3" fillId="0" borderId="0" xfId="0" quotePrefix="1" applyFont="1" applyAlignment="1">
      <alignment horizontal="center" vertical="center" wrapText="1"/>
    </xf>
    <xf numFmtId="4" fontId="5" fillId="4" borderId="1" xfId="0" quotePrefix="1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 wrapText="1"/>
    </xf>
    <xf numFmtId="4" fontId="5" fillId="3" borderId="1" xfId="0" quotePrefix="1" applyNumberFormat="1" applyFont="1" applyFill="1" applyBorder="1" applyAlignment="1">
      <alignment horizontal="right"/>
    </xf>
    <xf numFmtId="4" fontId="5" fillId="3" borderId="3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1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4" fontId="3" fillId="3" borderId="1" xfId="0" quotePrefix="1" applyNumberFormat="1" applyFont="1" applyFill="1" applyBorder="1" applyAlignment="1">
      <alignment horizontal="right"/>
    </xf>
    <xf numFmtId="4" fontId="3" fillId="3" borderId="3" xfId="0" quotePrefix="1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/>
    <xf numFmtId="0" fontId="3" fillId="0" borderId="1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" fontId="2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 shrinkToFit="1"/>
    </xf>
    <xf numFmtId="0" fontId="2" fillId="0" borderId="1" xfId="0" applyFont="1" applyBorder="1" applyAlignment="1">
      <alignment horizontal="left" shrinkToFit="1"/>
    </xf>
    <xf numFmtId="16" fontId="2" fillId="0" borderId="1" xfId="0" applyNumberFormat="1" applyFont="1" applyBorder="1" applyAlignment="1">
      <alignment horizontal="left" shrinkToFit="1"/>
    </xf>
    <xf numFmtId="0" fontId="2" fillId="0" borderId="8" xfId="0" applyFont="1" applyBorder="1" applyAlignment="1">
      <alignment horizontal="left" shrinkToFit="1"/>
    </xf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left" shrinkToFit="1"/>
    </xf>
    <xf numFmtId="4" fontId="2" fillId="0" borderId="0" xfId="0" applyNumberFormat="1" applyFont="1" applyAlignment="1">
      <alignment horizontal="right" shrinkToFit="1"/>
    </xf>
    <xf numFmtId="4" fontId="3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shrinkToFit="1"/>
    </xf>
    <xf numFmtId="4" fontId="4" fillId="0" borderId="7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wrapText="1"/>
    </xf>
    <xf numFmtId="49" fontId="10" fillId="0" borderId="3" xfId="0" quotePrefix="1" applyNumberFormat="1" applyFont="1" applyBorder="1" applyAlignment="1">
      <alignment horizontal="left" vertical="center"/>
    </xf>
    <xf numFmtId="4" fontId="5" fillId="3" borderId="4" xfId="0" applyNumberFormat="1" applyFont="1" applyFill="1" applyBorder="1" applyAlignment="1">
      <alignment horizontal="right" shrinkToFit="1"/>
    </xf>
    <xf numFmtId="4" fontId="5" fillId="8" borderId="3" xfId="0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0" fontId="5" fillId="6" borderId="3" xfId="0" applyFont="1" applyFill="1" applyBorder="1" applyAlignment="1">
      <alignment horizontal="left"/>
    </xf>
    <xf numFmtId="4" fontId="5" fillId="6" borderId="3" xfId="0" applyNumberFormat="1" applyFont="1" applyFill="1" applyBorder="1" applyAlignment="1">
      <alignment horizontal="right"/>
    </xf>
    <xf numFmtId="4" fontId="5" fillId="12" borderId="3" xfId="0" applyNumberFormat="1" applyFont="1" applyFill="1" applyBorder="1" applyAlignment="1">
      <alignment horizontal="right" shrinkToFit="1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9" borderId="4" xfId="0" applyFont="1" applyFill="1" applyBorder="1" applyAlignment="1">
      <alignment horizontal="left"/>
    </xf>
    <xf numFmtId="4" fontId="5" fillId="9" borderId="3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4" fontId="2" fillId="5" borderId="3" xfId="0" applyNumberFormat="1" applyFont="1" applyFill="1" applyBorder="1" applyAlignment="1">
      <alignment horizontal="right" shrinkToFit="1"/>
    </xf>
    <xf numFmtId="4" fontId="3" fillId="12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5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 wrapText="1"/>
    </xf>
    <xf numFmtId="4" fontId="3" fillId="6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0" fontId="5" fillId="8" borderId="3" xfId="0" applyFont="1" applyFill="1" applyBorder="1"/>
    <xf numFmtId="4" fontId="5" fillId="6" borderId="3" xfId="0" applyNumberFormat="1" applyFont="1" applyFill="1" applyBorder="1" applyAlignment="1">
      <alignment horizontal="right" shrinkToFit="1"/>
    </xf>
    <xf numFmtId="4" fontId="5" fillId="12" borderId="3" xfId="0" applyNumberFormat="1" applyFont="1" applyFill="1" applyBorder="1"/>
    <xf numFmtId="0" fontId="5" fillId="9" borderId="2" xfId="0" applyFont="1" applyFill="1" applyBorder="1" applyAlignment="1">
      <alignment horizontal="left" wrapText="1"/>
    </xf>
    <xf numFmtId="4" fontId="5" fillId="9" borderId="3" xfId="0" applyNumberFormat="1" applyFont="1" applyFill="1" applyBorder="1"/>
    <xf numFmtId="4" fontId="2" fillId="5" borderId="3" xfId="0" applyNumberFormat="1" applyFont="1" applyFill="1" applyBorder="1"/>
    <xf numFmtId="4" fontId="4" fillId="5" borderId="3" xfId="0" applyNumberFormat="1" applyFont="1" applyFill="1" applyBorder="1" applyAlignment="1">
      <alignment horizontal="right"/>
    </xf>
    <xf numFmtId="4" fontId="8" fillId="12" borderId="3" xfId="0" applyNumberFormat="1" applyFont="1" applyFill="1" applyBorder="1" applyAlignment="1">
      <alignment horizontal="right"/>
    </xf>
    <xf numFmtId="4" fontId="4" fillId="10" borderId="3" xfId="0" applyNumberFormat="1" applyFont="1" applyFill="1" applyBorder="1" applyAlignment="1">
      <alignment horizontal="right"/>
    </xf>
    <xf numFmtId="4" fontId="8" fillId="6" borderId="3" xfId="0" applyNumberFormat="1" applyFont="1" applyFill="1" applyBorder="1" applyAlignment="1">
      <alignment horizontal="right"/>
    </xf>
    <xf numFmtId="4" fontId="5" fillId="12" borderId="3" xfId="0" applyNumberFormat="1" applyFont="1" applyFill="1" applyBorder="1" applyAlignment="1">
      <alignment horizontal="right"/>
    </xf>
    <xf numFmtId="4" fontId="5" fillId="6" borderId="3" xfId="0" applyNumberFormat="1" applyFont="1" applyFill="1" applyBorder="1"/>
    <xf numFmtId="4" fontId="8" fillId="12" borderId="3" xfId="0" applyNumberFormat="1" applyFont="1" applyFill="1" applyBorder="1"/>
    <xf numFmtId="4" fontId="5" fillId="0" borderId="3" xfId="0" applyNumberFormat="1" applyFont="1" applyBorder="1"/>
    <xf numFmtId="0" fontId="5" fillId="6" borderId="3" xfId="0" applyFont="1" applyFill="1" applyBorder="1"/>
    <xf numFmtId="0" fontId="5" fillId="12" borderId="6" xfId="0" applyFont="1" applyFill="1" applyBorder="1" applyAlignment="1">
      <alignment horizontal="left"/>
    </xf>
    <xf numFmtId="0" fontId="5" fillId="12" borderId="5" xfId="0" applyFont="1" applyFill="1" applyBorder="1"/>
    <xf numFmtId="0" fontId="5" fillId="8" borderId="7" xfId="0" applyFont="1" applyFill="1" applyBorder="1"/>
    <xf numFmtId="4" fontId="2" fillId="0" borderId="12" xfId="0" applyNumberFormat="1" applyFont="1" applyBorder="1" applyAlignment="1">
      <alignment horizontal="right"/>
    </xf>
    <xf numFmtId="0" fontId="5" fillId="12" borderId="5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left"/>
    </xf>
    <xf numFmtId="4" fontId="5" fillId="5" borderId="3" xfId="0" applyNumberFormat="1" applyFont="1" applyFill="1" applyBorder="1"/>
    <xf numFmtId="0" fontId="5" fillId="9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11" xfId="0" applyFont="1" applyFill="1" applyBorder="1" applyAlignment="1">
      <alignment horizontal="left"/>
    </xf>
    <xf numFmtId="4" fontId="5" fillId="9" borderId="3" xfId="0" applyNumberFormat="1" applyFont="1" applyFill="1" applyBorder="1" applyAlignment="1">
      <alignment horizontal="right" shrinkToFit="1"/>
    </xf>
    <xf numFmtId="4" fontId="2" fillId="11" borderId="3" xfId="0" applyNumberFormat="1" applyFont="1" applyFill="1" applyBorder="1" applyAlignment="1">
      <alignment horizontal="right" shrinkToFit="1"/>
    </xf>
    <xf numFmtId="4" fontId="5" fillId="0" borderId="3" xfId="0" applyNumberFormat="1" applyFont="1" applyBorder="1" applyAlignment="1">
      <alignment horizontal="right" shrinkToFit="1"/>
    </xf>
    <xf numFmtId="0" fontId="5" fillId="9" borderId="12" xfId="0" applyFont="1" applyFill="1" applyBorder="1" applyAlignment="1">
      <alignment horizontal="right"/>
    </xf>
    <xf numFmtId="4" fontId="2" fillId="5" borderId="12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8" fillId="12" borderId="7" xfId="0" applyNumberFormat="1" applyFont="1" applyFill="1" applyBorder="1" applyAlignment="1">
      <alignment horizontal="right"/>
    </xf>
    <xf numFmtId="4" fontId="4" fillId="10" borderId="7" xfId="0" applyNumberFormat="1" applyFont="1" applyFill="1" applyBorder="1" applyAlignment="1">
      <alignment horizontal="right"/>
    </xf>
    <xf numFmtId="4" fontId="4" fillId="5" borderId="7" xfId="0" applyNumberFormat="1" applyFont="1" applyFill="1" applyBorder="1" applyAlignment="1">
      <alignment horizontal="right"/>
    </xf>
    <xf numFmtId="4" fontId="8" fillId="12" borderId="12" xfId="0" applyNumberFormat="1" applyFont="1" applyFill="1" applyBorder="1" applyAlignment="1">
      <alignment horizontal="right"/>
    </xf>
    <xf numFmtId="0" fontId="5" fillId="6" borderId="6" xfId="0" applyFont="1" applyFill="1" applyBorder="1"/>
    <xf numFmtId="0" fontId="5" fillId="6" borderId="5" xfId="0" applyFont="1" applyFill="1" applyBorder="1"/>
    <xf numFmtId="4" fontId="5" fillId="6" borderId="1" xfId="0" applyNumberFormat="1" applyFont="1" applyFill="1" applyBorder="1"/>
    <xf numFmtId="4" fontId="5" fillId="12" borderId="1" xfId="0" applyNumberFormat="1" applyFont="1" applyFill="1" applyBorder="1"/>
    <xf numFmtId="4" fontId="2" fillId="5" borderId="7" xfId="0" applyNumberFormat="1" applyFont="1" applyFill="1" applyBorder="1" applyAlignment="1">
      <alignment horizontal="right" shrinkToFit="1"/>
    </xf>
    <xf numFmtId="0" fontId="4" fillId="0" borderId="3" xfId="0" applyFont="1" applyBorder="1" applyAlignment="1">
      <alignment wrapText="1"/>
    </xf>
    <xf numFmtId="0" fontId="4" fillId="12" borderId="3" xfId="0" applyFont="1" applyFill="1" applyBorder="1"/>
    <xf numFmtId="0" fontId="5" fillId="7" borderId="3" xfId="0" applyFont="1" applyFill="1" applyBorder="1"/>
    <xf numFmtId="0" fontId="4" fillId="7" borderId="3" xfId="0" applyFont="1" applyFill="1" applyBorder="1"/>
    <xf numFmtId="4" fontId="4" fillId="7" borderId="3" xfId="0" applyNumberFormat="1" applyFont="1" applyFill="1" applyBorder="1" applyAlignment="1">
      <alignment horizontal="right"/>
    </xf>
    <xf numFmtId="0" fontId="2" fillId="5" borderId="3" xfId="0" applyFont="1" applyFill="1" applyBorder="1"/>
    <xf numFmtId="4" fontId="5" fillId="6" borderId="4" xfId="0" applyNumberFormat="1" applyFont="1" applyFill="1" applyBorder="1" applyAlignment="1">
      <alignment horizontal="right"/>
    </xf>
    <xf numFmtId="0" fontId="4" fillId="12" borderId="1" xfId="0" applyFont="1" applyFill="1" applyBorder="1"/>
    <xf numFmtId="4" fontId="5" fillId="8" borderId="3" xfId="0" applyNumberFormat="1" applyFont="1" applyFill="1" applyBorder="1" applyAlignment="1">
      <alignment horizontal="right" shrinkToFit="1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 shrinkToFit="1"/>
    </xf>
    <xf numFmtId="0" fontId="6" fillId="0" borderId="3" xfId="0" applyFont="1" applyBorder="1" applyAlignment="1">
      <alignment horizontal="center" vertical="center" wrapText="1"/>
    </xf>
    <xf numFmtId="4" fontId="5" fillId="0" borderId="0" xfId="0" applyNumberFormat="1" applyFont="1"/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1" xfId="0" quotePrefix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shrinkToFit="1"/>
    </xf>
    <xf numFmtId="0" fontId="6" fillId="0" borderId="0" xfId="0" applyFont="1" applyAlignment="1">
      <alignment horizontal="left" vertical="center"/>
    </xf>
    <xf numFmtId="4" fontId="4" fillId="0" borderId="7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shrinkToFit="1"/>
    </xf>
    <xf numFmtId="4" fontId="2" fillId="0" borderId="12" xfId="0" applyNumberFormat="1" applyFont="1" applyBorder="1" applyAlignment="1">
      <alignment horizontal="right" shrinkToFit="1"/>
    </xf>
    <xf numFmtId="4" fontId="6" fillId="0" borderId="7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12" xfId="0" applyNumberFormat="1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center" shrinkToFit="1"/>
    </xf>
    <xf numFmtId="4" fontId="2" fillId="0" borderId="12" xfId="0" applyNumberFormat="1" applyFont="1" applyBorder="1" applyAlignment="1">
      <alignment horizontal="center" shrinkToFi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5" borderId="1" xfId="0" applyFont="1" applyFill="1" applyBorder="1" applyAlignment="1">
      <alignment horizontal="left" shrinkToFit="1"/>
    </xf>
    <xf numFmtId="0" fontId="2" fillId="5" borderId="2" xfId="0" applyFont="1" applyFill="1" applyBorder="1" applyAlignment="1">
      <alignment horizontal="left" shrinkToFit="1"/>
    </xf>
    <xf numFmtId="0" fontId="2" fillId="5" borderId="4" xfId="0" applyFont="1" applyFill="1" applyBorder="1" applyAlignment="1">
      <alignment horizontal="left" shrinkToFit="1"/>
    </xf>
    <xf numFmtId="0" fontId="5" fillId="6" borderId="1" xfId="0" applyFont="1" applyFill="1" applyBorder="1" applyAlignment="1">
      <alignment horizontal="left" shrinkToFit="1"/>
    </xf>
    <xf numFmtId="0" fontId="5" fillId="6" borderId="2" xfId="0" applyFont="1" applyFill="1" applyBorder="1" applyAlignment="1">
      <alignment horizontal="left" shrinkToFit="1"/>
    </xf>
    <xf numFmtId="0" fontId="5" fillId="6" borderId="4" xfId="0" applyFont="1" applyFill="1" applyBorder="1" applyAlignment="1">
      <alignment horizontal="left" shrinkToFit="1"/>
    </xf>
    <xf numFmtId="4" fontId="8" fillId="12" borderId="7" xfId="0" applyNumberFormat="1" applyFont="1" applyFill="1" applyBorder="1" applyAlignment="1">
      <alignment horizontal="right"/>
    </xf>
    <xf numFmtId="4" fontId="8" fillId="12" borderId="12" xfId="0" applyNumberFormat="1" applyFont="1" applyFill="1" applyBorder="1" applyAlignment="1">
      <alignment horizontal="right"/>
    </xf>
    <xf numFmtId="4" fontId="8" fillId="12" borderId="3" xfId="0" applyNumberFormat="1" applyFont="1" applyFill="1" applyBorder="1" applyAlignment="1">
      <alignment horizontal="right"/>
    </xf>
    <xf numFmtId="0" fontId="8" fillId="12" borderId="3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left" shrinkToFit="1"/>
    </xf>
    <xf numFmtId="0" fontId="5" fillId="12" borderId="9" xfId="0" applyFont="1" applyFill="1" applyBorder="1" applyAlignment="1">
      <alignment horizontal="left" shrinkToFit="1"/>
    </xf>
    <xf numFmtId="0" fontId="5" fillId="12" borderId="10" xfId="0" applyFont="1" applyFill="1" applyBorder="1" applyAlignment="1">
      <alignment horizontal="left" shrinkToFit="1"/>
    </xf>
    <xf numFmtId="0" fontId="5" fillId="6" borderId="8" xfId="0" applyFont="1" applyFill="1" applyBorder="1" applyAlignment="1">
      <alignment horizontal="left" shrinkToFit="1"/>
    </xf>
    <xf numFmtId="0" fontId="5" fillId="6" borderId="9" xfId="0" applyFont="1" applyFill="1" applyBorder="1" applyAlignment="1">
      <alignment horizontal="left" shrinkToFit="1"/>
    </xf>
    <xf numFmtId="4" fontId="5" fillId="8" borderId="3" xfId="0" applyNumberFormat="1" applyFont="1" applyFill="1" applyBorder="1" applyAlignment="1">
      <alignment horizontal="right"/>
    </xf>
    <xf numFmtId="0" fontId="5" fillId="8" borderId="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horizontal="left" wrapText="1" shrinkToFit="1"/>
    </xf>
    <xf numFmtId="0" fontId="5" fillId="12" borderId="2" xfId="0" applyFont="1" applyFill="1" applyBorder="1" applyAlignment="1">
      <alignment horizontal="left" wrapText="1" shrinkToFit="1"/>
    </xf>
    <xf numFmtId="0" fontId="5" fillId="12" borderId="4" xfId="0" applyFont="1" applyFill="1" applyBorder="1" applyAlignment="1">
      <alignment horizontal="left" wrapText="1" shrinkToFit="1"/>
    </xf>
    <xf numFmtId="0" fontId="5" fillId="12" borderId="3" xfId="0" applyFont="1" applyFill="1" applyBorder="1" applyAlignment="1">
      <alignment horizontal="left" shrinkToFit="1"/>
    </xf>
    <xf numFmtId="0" fontId="5" fillId="12" borderId="3" xfId="0" applyFont="1" applyFill="1" applyBorder="1" applyAlignment="1">
      <alignment horizontal="left" wrapText="1" shrinkToFit="1"/>
    </xf>
    <xf numFmtId="0" fontId="5" fillId="12" borderId="1" xfId="0" applyFont="1" applyFill="1" applyBorder="1" applyAlignment="1">
      <alignment horizontal="left" shrinkToFit="1"/>
    </xf>
    <xf numFmtId="0" fontId="5" fillId="12" borderId="2" xfId="0" applyFont="1" applyFill="1" applyBorder="1" applyAlignment="1">
      <alignment horizontal="left" shrinkToFit="1"/>
    </xf>
    <xf numFmtId="0" fontId="5" fillId="12" borderId="4" xfId="0" applyFont="1" applyFill="1" applyBorder="1" applyAlignment="1">
      <alignment horizontal="left" shrinkToFit="1"/>
    </xf>
    <xf numFmtId="4" fontId="5" fillId="6" borderId="3" xfId="0" applyNumberFormat="1" applyFont="1" applyFill="1" applyBorder="1" applyAlignment="1">
      <alignment horizontal="right" shrinkToFit="1"/>
    </xf>
    <xf numFmtId="0" fontId="5" fillId="6" borderId="3" xfId="0" applyFont="1" applyFill="1" applyBorder="1" applyAlignment="1">
      <alignment horizontal="right" shrinkToFit="1"/>
    </xf>
    <xf numFmtId="4" fontId="8" fillId="12" borderId="14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12" borderId="8" xfId="0" applyFont="1" applyFill="1" applyBorder="1" applyAlignment="1">
      <alignment horizontal="left"/>
    </xf>
    <xf numFmtId="0" fontId="5" fillId="12" borderId="9" xfId="0" applyFont="1" applyFill="1" applyBorder="1" applyAlignment="1">
      <alignment horizontal="left"/>
    </xf>
    <xf numFmtId="0" fontId="5" fillId="12" borderId="10" xfId="0" applyFont="1" applyFill="1" applyBorder="1" applyAlignment="1">
      <alignment horizontal="left"/>
    </xf>
    <xf numFmtId="0" fontId="5" fillId="12" borderId="6" xfId="0" applyFont="1" applyFill="1" applyBorder="1" applyAlignment="1">
      <alignment horizontal="left"/>
    </xf>
    <xf numFmtId="0" fontId="5" fillId="12" borderId="5" xfId="0" applyFont="1" applyFill="1" applyBorder="1" applyAlignment="1">
      <alignment horizontal="left"/>
    </xf>
    <xf numFmtId="4" fontId="5" fillId="12" borderId="3" xfId="0" applyNumberFormat="1" applyFont="1" applyFill="1" applyBorder="1" applyAlignment="1">
      <alignment horizontal="right"/>
    </xf>
    <xf numFmtId="0" fontId="5" fillId="12" borderId="3" xfId="0" applyFont="1" applyFill="1" applyBorder="1" applyAlignment="1">
      <alignment horizontal="right"/>
    </xf>
    <xf numFmtId="0" fontId="5" fillId="12" borderId="6" xfId="0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0" fontId="5" fillId="12" borderId="1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shrinkToFit="1"/>
    </xf>
    <xf numFmtId="0" fontId="5" fillId="9" borderId="2" xfId="0" applyFont="1" applyFill="1" applyBorder="1" applyAlignment="1">
      <alignment horizontal="left" shrinkToFit="1"/>
    </xf>
    <xf numFmtId="0" fontId="5" fillId="9" borderId="4" xfId="0" applyFont="1" applyFill="1" applyBorder="1" applyAlignment="1">
      <alignment horizontal="left" shrinkToFit="1"/>
    </xf>
    <xf numFmtId="0" fontId="5" fillId="12" borderId="8" xfId="0" applyFont="1" applyFill="1" applyBorder="1" applyAlignment="1">
      <alignment horizontal="left" vertical="center" wrapText="1" shrinkToFit="1"/>
    </xf>
    <xf numFmtId="0" fontId="5" fillId="12" borderId="9" xfId="0" applyFont="1" applyFill="1" applyBorder="1" applyAlignment="1">
      <alignment horizontal="left" vertical="center" wrapText="1" shrinkToFit="1"/>
    </xf>
    <xf numFmtId="0" fontId="5" fillId="12" borderId="10" xfId="0" applyFont="1" applyFill="1" applyBorder="1" applyAlignment="1">
      <alignment horizontal="left" vertical="center" wrapText="1" shrinkToFit="1"/>
    </xf>
    <xf numFmtId="0" fontId="5" fillId="12" borderId="13" xfId="0" applyFont="1" applyFill="1" applyBorder="1" applyAlignment="1">
      <alignment horizontal="left" vertical="center" wrapText="1" shrinkToFit="1"/>
    </xf>
    <xf numFmtId="0" fontId="5" fillId="12" borderId="0" xfId="0" applyFont="1" applyFill="1" applyAlignment="1">
      <alignment horizontal="left" vertical="center" wrapText="1" shrinkToFit="1"/>
    </xf>
    <xf numFmtId="0" fontId="5" fillId="12" borderId="15" xfId="0" applyFont="1" applyFill="1" applyBorder="1" applyAlignment="1">
      <alignment horizontal="left" vertical="center" wrapText="1" shrinkToFit="1"/>
    </xf>
    <xf numFmtId="0" fontId="5" fillId="12" borderId="6" xfId="0" applyFont="1" applyFill="1" applyBorder="1" applyAlignment="1">
      <alignment horizontal="left" vertical="center" wrapText="1" shrinkToFit="1"/>
    </xf>
    <xf numFmtId="0" fontId="5" fillId="12" borderId="5" xfId="0" applyFont="1" applyFill="1" applyBorder="1" applyAlignment="1">
      <alignment horizontal="left" vertical="center" wrapText="1" shrinkToFit="1"/>
    </xf>
    <xf numFmtId="0" fontId="5" fillId="12" borderId="11" xfId="0" applyFont="1" applyFill="1" applyBorder="1" applyAlignment="1">
      <alignment horizontal="left" vertical="center" wrapText="1" shrinkToFit="1"/>
    </xf>
    <xf numFmtId="0" fontId="5" fillId="12" borderId="11" xfId="0" applyFont="1" applyFill="1" applyBorder="1" applyAlignment="1">
      <alignment horizontal="left"/>
    </xf>
    <xf numFmtId="0" fontId="2" fillId="5" borderId="1" xfId="0" applyFont="1" applyFill="1" applyBorder="1" applyAlignment="1">
      <alignment shrinkToFit="1"/>
    </xf>
    <xf numFmtId="0" fontId="2" fillId="5" borderId="2" xfId="0" applyFont="1" applyFill="1" applyBorder="1" applyAlignment="1">
      <alignment shrinkToFit="1"/>
    </xf>
    <xf numFmtId="0" fontId="2" fillId="5" borderId="4" xfId="0" applyFont="1" applyFill="1" applyBorder="1" applyAlignment="1">
      <alignment shrinkToFit="1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5" fillId="12" borderId="1" xfId="0" applyFont="1" applyFill="1" applyBorder="1" applyAlignment="1">
      <alignment horizontal="left" wrapText="1"/>
    </xf>
    <xf numFmtId="0" fontId="5" fillId="12" borderId="2" xfId="0" applyFont="1" applyFill="1" applyBorder="1" applyAlignment="1">
      <alignment horizontal="left" wrapText="1"/>
    </xf>
    <xf numFmtId="0" fontId="5" fillId="12" borderId="4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 shrinkToFit="1"/>
    </xf>
    <xf numFmtId="0" fontId="5" fillId="8" borderId="2" xfId="0" applyFont="1" applyFill="1" applyBorder="1" applyAlignment="1">
      <alignment horizontal="left" shrinkToFit="1"/>
    </xf>
    <xf numFmtId="0" fontId="5" fillId="8" borderId="4" xfId="0" applyFont="1" applyFill="1" applyBorder="1" applyAlignment="1">
      <alignment horizontal="left" shrinkToFit="1"/>
    </xf>
    <xf numFmtId="0" fontId="5" fillId="8" borderId="6" xfId="0" applyFont="1" applyFill="1" applyBorder="1" applyAlignment="1">
      <alignment horizontal="left"/>
    </xf>
    <xf numFmtId="0" fontId="5" fillId="8" borderId="5" xfId="0" applyFont="1" applyFill="1" applyBorder="1" applyAlignment="1">
      <alignment horizontal="left"/>
    </xf>
    <xf numFmtId="0" fontId="5" fillId="8" borderId="11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shrinkToFit="1"/>
    </xf>
    <xf numFmtId="0" fontId="5" fillId="8" borderId="1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" fontId="5" fillId="8" borderId="7" xfId="0" applyNumberFormat="1" applyFont="1" applyFill="1" applyBorder="1" applyAlignment="1">
      <alignment horizontal="right"/>
    </xf>
    <xf numFmtId="0" fontId="5" fillId="8" borderId="1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 shrinkToFit="1"/>
    </xf>
    <xf numFmtId="0" fontId="5" fillId="3" borderId="2" xfId="0" applyFont="1" applyFill="1" applyBorder="1" applyAlignment="1">
      <alignment horizontal="left" shrinkToFit="1"/>
    </xf>
    <xf numFmtId="4" fontId="5" fillId="12" borderId="7" xfId="0" applyNumberFormat="1" applyFont="1" applyFill="1" applyBorder="1" applyAlignment="1">
      <alignment horizontal="right"/>
    </xf>
    <xf numFmtId="0" fontId="5" fillId="12" borderId="12" xfId="0" applyFont="1" applyFill="1" applyBorder="1" applyAlignment="1">
      <alignment horizontal="right"/>
    </xf>
    <xf numFmtId="4" fontId="5" fillId="12" borderId="3" xfId="0" applyNumberFormat="1" applyFont="1" applyFill="1" applyBorder="1"/>
    <xf numFmtId="0" fontId="5" fillId="12" borderId="3" xfId="0" applyFont="1" applyFill="1" applyBorder="1"/>
    <xf numFmtId="0" fontId="2" fillId="5" borderId="1" xfId="0" applyFont="1" applyFill="1" applyBorder="1" applyAlignment="1">
      <alignment horizontal="center" shrinkToFit="1"/>
    </xf>
    <xf numFmtId="0" fontId="2" fillId="5" borderId="2" xfId="0" applyFont="1" applyFill="1" applyBorder="1" applyAlignment="1">
      <alignment horizontal="center" shrinkToFit="1"/>
    </xf>
    <xf numFmtId="0" fontId="2" fillId="5" borderId="4" xfId="0" applyFont="1" applyFill="1" applyBorder="1" applyAlignment="1">
      <alignment horizontal="center" shrinkToFit="1"/>
    </xf>
    <xf numFmtId="0" fontId="5" fillId="12" borderId="1" xfId="0" applyFont="1" applyFill="1" applyBorder="1" applyAlignment="1">
      <alignment horizontal="left"/>
    </xf>
    <xf numFmtId="0" fontId="5" fillId="12" borderId="2" xfId="0" applyFont="1" applyFill="1" applyBorder="1" applyAlignment="1">
      <alignment horizontal="left"/>
    </xf>
    <xf numFmtId="0" fontId="5" fillId="12" borderId="4" xfId="0" applyFont="1" applyFill="1" applyBorder="1" applyAlignment="1">
      <alignment horizontal="left"/>
    </xf>
    <xf numFmtId="0" fontId="5" fillId="12" borderId="8" xfId="0" applyFont="1" applyFill="1" applyBorder="1" applyAlignment="1">
      <alignment horizontal="left" wrapText="1"/>
    </xf>
    <xf numFmtId="0" fontId="5" fillId="12" borderId="9" xfId="0" applyFont="1" applyFill="1" applyBorder="1" applyAlignment="1">
      <alignment horizontal="left" wrapText="1"/>
    </xf>
    <xf numFmtId="0" fontId="5" fillId="12" borderId="10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</cellXfs>
  <cellStyles count="2">
    <cellStyle name="Normalno" xfId="0" builtinId="0"/>
    <cellStyle name="Normalno 4" xfId="1" xr:uid="{03C12450-20C9-43C8-BA9C-D1D3CA45460F}"/>
  </cellStyles>
  <dxfs count="0"/>
  <tableStyles count="0" defaultTableStyle="TableStyleMedium2" defaultPivotStyle="PivotStyleLight16"/>
  <colors>
    <mruColors>
      <color rgb="FFFFFF00"/>
      <color rgb="FFCC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zoomScale="120" zoomScaleNormal="120" workbookViewId="0">
      <selection activeCell="L13" sqref="L13"/>
    </sheetView>
  </sheetViews>
  <sheetFormatPr defaultRowHeight="12" x14ac:dyDescent="0.2"/>
  <cols>
    <col min="1" max="4" width="9.140625" style="2"/>
    <col min="5" max="5" width="22.140625" style="2" customWidth="1"/>
    <col min="6" max="8" width="25.28515625" style="2" customWidth="1"/>
    <col min="9" max="16384" width="9.140625" style="2"/>
  </cols>
  <sheetData>
    <row r="1" spans="1:8" x14ac:dyDescent="0.2">
      <c r="G1" s="17"/>
    </row>
    <row r="3" spans="1:8" ht="30.75" customHeight="1" x14ac:dyDescent="0.2">
      <c r="A3" s="208" t="s">
        <v>323</v>
      </c>
      <c r="B3" s="208"/>
      <c r="C3" s="208"/>
      <c r="D3" s="208"/>
      <c r="E3" s="208"/>
      <c r="F3" s="208"/>
      <c r="G3" s="208"/>
      <c r="H3" s="208"/>
    </row>
    <row r="5" spans="1:8" ht="42" customHeight="1" x14ac:dyDescent="0.2">
      <c r="A5" s="200" t="s">
        <v>296</v>
      </c>
      <c r="B5" s="200"/>
      <c r="C5" s="200"/>
      <c r="D5" s="200"/>
      <c r="E5" s="200"/>
      <c r="F5" s="200"/>
      <c r="G5" s="200"/>
      <c r="H5" s="200"/>
    </row>
    <row r="6" spans="1:8" x14ac:dyDescent="0.2">
      <c r="A6" s="200" t="s">
        <v>29</v>
      </c>
      <c r="B6" s="200"/>
      <c r="C6" s="200"/>
      <c r="D6" s="200"/>
      <c r="E6" s="200"/>
      <c r="F6" s="200"/>
      <c r="G6" s="209"/>
      <c r="H6" s="209"/>
    </row>
    <row r="7" spans="1:8" x14ac:dyDescent="0.2">
      <c r="A7" s="11"/>
      <c r="B7" s="11"/>
      <c r="C7" s="11"/>
      <c r="D7" s="11"/>
      <c r="E7" s="11"/>
      <c r="F7" s="11"/>
      <c r="G7" s="20"/>
      <c r="H7" s="20"/>
    </row>
    <row r="8" spans="1:8" x14ac:dyDescent="0.2">
      <c r="A8" s="200" t="s">
        <v>156</v>
      </c>
      <c r="B8" s="200"/>
      <c r="C8" s="200"/>
      <c r="D8" s="200"/>
      <c r="E8" s="200"/>
      <c r="F8" s="200"/>
      <c r="G8" s="200"/>
      <c r="H8" s="200"/>
    </row>
    <row r="9" spans="1:8" x14ac:dyDescent="0.2">
      <c r="A9" s="11"/>
      <c r="B9" s="11"/>
      <c r="C9" s="11"/>
      <c r="D9" s="11"/>
      <c r="E9" s="11"/>
      <c r="F9" s="11"/>
      <c r="G9" s="20"/>
      <c r="H9" s="20"/>
    </row>
    <row r="10" spans="1:8" ht="15" customHeight="1" x14ac:dyDescent="0.2">
      <c r="A10" s="212" t="s">
        <v>299</v>
      </c>
      <c r="B10" s="212"/>
      <c r="C10" s="212"/>
      <c r="D10" s="212"/>
      <c r="E10" s="212"/>
      <c r="F10" s="212"/>
      <c r="G10" s="212"/>
      <c r="H10" s="212"/>
    </row>
    <row r="11" spans="1:8" ht="15" customHeight="1" x14ac:dyDescent="0.2">
      <c r="A11" s="213" t="s">
        <v>304</v>
      </c>
      <c r="B11" s="213"/>
      <c r="C11" s="213"/>
      <c r="D11" s="213"/>
      <c r="E11" s="213"/>
      <c r="F11" s="213"/>
      <c r="G11" s="213"/>
      <c r="H11" s="213"/>
    </row>
    <row r="12" spans="1:8" x14ac:dyDescent="0.2">
      <c r="B12" s="19"/>
      <c r="C12" s="19"/>
      <c r="D12" s="19"/>
      <c r="E12" s="19"/>
      <c r="F12" s="19"/>
      <c r="G12" s="19"/>
    </row>
    <row r="13" spans="1:8" ht="18" customHeight="1" x14ac:dyDescent="0.2">
      <c r="A13" s="200" t="s">
        <v>38</v>
      </c>
      <c r="B13" s="201"/>
      <c r="C13" s="201"/>
      <c r="D13" s="201"/>
      <c r="E13" s="201"/>
      <c r="F13" s="201"/>
      <c r="G13" s="201"/>
      <c r="H13" s="201"/>
    </row>
    <row r="14" spans="1:8" x14ac:dyDescent="0.2">
      <c r="A14" s="22"/>
      <c r="B14" s="23"/>
      <c r="C14" s="23"/>
      <c r="D14" s="23"/>
      <c r="E14" s="24"/>
      <c r="F14" s="25"/>
      <c r="G14" s="25"/>
      <c r="H14" s="26" t="s">
        <v>87</v>
      </c>
    </row>
    <row r="15" spans="1:8" x14ac:dyDescent="0.2">
      <c r="A15" s="27"/>
      <c r="B15" s="28"/>
      <c r="C15" s="28"/>
      <c r="D15" s="29"/>
      <c r="E15" s="30"/>
      <c r="F15" s="31" t="s">
        <v>231</v>
      </c>
      <c r="G15" s="31" t="s">
        <v>297</v>
      </c>
      <c r="H15" s="31" t="s">
        <v>298</v>
      </c>
    </row>
    <row r="16" spans="1:8" x14ac:dyDescent="0.2">
      <c r="A16" s="204" t="s">
        <v>0</v>
      </c>
      <c r="B16" s="197"/>
      <c r="C16" s="197"/>
      <c r="D16" s="197"/>
      <c r="E16" s="210"/>
      <c r="F16" s="33">
        <f>F17+F18</f>
        <v>2044186</v>
      </c>
      <c r="G16" s="33">
        <f>G17+G18</f>
        <v>53790</v>
      </c>
      <c r="H16" s="33">
        <f>H17+H18</f>
        <v>2097976</v>
      </c>
    </row>
    <row r="17" spans="1:8" x14ac:dyDescent="0.2">
      <c r="A17" s="211" t="s">
        <v>1</v>
      </c>
      <c r="B17" s="199"/>
      <c r="C17" s="199"/>
      <c r="D17" s="199"/>
      <c r="E17" s="203"/>
      <c r="F17" s="35">
        <f>1957936+85750</f>
        <v>2043686</v>
      </c>
      <c r="G17" s="35">
        <v>53090</v>
      </c>
      <c r="H17" s="35">
        <f>F17+G17</f>
        <v>2096776</v>
      </c>
    </row>
    <row r="18" spans="1:8" x14ac:dyDescent="0.2">
      <c r="A18" s="202" t="s">
        <v>2</v>
      </c>
      <c r="B18" s="203"/>
      <c r="C18" s="203"/>
      <c r="D18" s="203"/>
      <c r="E18" s="203"/>
      <c r="F18" s="35">
        <v>500</v>
      </c>
      <c r="G18" s="35">
        <v>700</v>
      </c>
      <c r="H18" s="35">
        <f>F18+G18</f>
        <v>1200</v>
      </c>
    </row>
    <row r="19" spans="1:8" x14ac:dyDescent="0.2">
      <c r="A19" s="36" t="s">
        <v>3</v>
      </c>
      <c r="B19" s="32"/>
      <c r="C19" s="32"/>
      <c r="D19" s="32"/>
      <c r="E19" s="32"/>
      <c r="F19" s="33">
        <f>F20+F21</f>
        <v>2244186</v>
      </c>
      <c r="G19" s="33">
        <f>G20+G21</f>
        <v>-66724.97</v>
      </c>
      <c r="H19" s="33">
        <f>H20+H21</f>
        <v>2177461.0300000003</v>
      </c>
    </row>
    <row r="20" spans="1:8" x14ac:dyDescent="0.2">
      <c r="A20" s="198" t="s">
        <v>4</v>
      </c>
      <c r="B20" s="199"/>
      <c r="C20" s="199"/>
      <c r="D20" s="199"/>
      <c r="E20" s="199"/>
      <c r="F20" s="35">
        <v>1249436</v>
      </c>
      <c r="G20" s="35">
        <v>-1224.97</v>
      </c>
      <c r="H20" s="37">
        <f>F20+G20</f>
        <v>1248211.03</v>
      </c>
    </row>
    <row r="21" spans="1:8" x14ac:dyDescent="0.2">
      <c r="A21" s="202" t="s">
        <v>5</v>
      </c>
      <c r="B21" s="203"/>
      <c r="C21" s="203"/>
      <c r="D21" s="203"/>
      <c r="E21" s="203"/>
      <c r="F21" s="35">
        <f>909000+85750</f>
        <v>994750</v>
      </c>
      <c r="G21" s="35">
        <v>-65500</v>
      </c>
      <c r="H21" s="37">
        <f>F21+G21</f>
        <v>929250</v>
      </c>
    </row>
    <row r="22" spans="1:8" x14ac:dyDescent="0.2">
      <c r="A22" s="196" t="s">
        <v>6</v>
      </c>
      <c r="B22" s="197"/>
      <c r="C22" s="197"/>
      <c r="D22" s="197"/>
      <c r="E22" s="197"/>
      <c r="F22" s="33">
        <f>F16-F19</f>
        <v>-200000</v>
      </c>
      <c r="G22" s="33">
        <f>G16-G19</f>
        <v>120514.97</v>
      </c>
      <c r="H22" s="33">
        <f>H16-H19</f>
        <v>-79485.030000000261</v>
      </c>
    </row>
    <row r="23" spans="1:8" x14ac:dyDescent="0.2">
      <c r="A23" s="11"/>
      <c r="B23" s="38"/>
      <c r="C23" s="38"/>
      <c r="D23" s="38"/>
      <c r="E23" s="38"/>
      <c r="F23" s="39"/>
      <c r="G23" s="40"/>
      <c r="H23" s="40"/>
    </row>
    <row r="24" spans="1:8" ht="18" customHeight="1" x14ac:dyDescent="0.2">
      <c r="A24" s="200" t="s">
        <v>37</v>
      </c>
      <c r="B24" s="201"/>
      <c r="C24" s="201"/>
      <c r="D24" s="201"/>
      <c r="E24" s="201"/>
      <c r="F24" s="201"/>
      <c r="G24" s="201"/>
      <c r="H24" s="201"/>
    </row>
    <row r="25" spans="1:8" x14ac:dyDescent="0.2">
      <c r="A25" s="11"/>
      <c r="B25" s="38"/>
      <c r="C25" s="38"/>
      <c r="D25" s="38"/>
      <c r="E25" s="38"/>
      <c r="F25" s="40"/>
      <c r="G25" s="40"/>
      <c r="H25" s="40"/>
    </row>
    <row r="26" spans="1:8" x14ac:dyDescent="0.2">
      <c r="A26" s="27"/>
      <c r="B26" s="28"/>
      <c r="C26" s="28"/>
      <c r="D26" s="29"/>
      <c r="E26" s="30"/>
      <c r="F26" s="31" t="s">
        <v>231</v>
      </c>
      <c r="G26" s="31" t="s">
        <v>297</v>
      </c>
      <c r="H26" s="31" t="s">
        <v>298</v>
      </c>
    </row>
    <row r="27" spans="1:8" x14ac:dyDescent="0.2">
      <c r="A27" s="202" t="s">
        <v>89</v>
      </c>
      <c r="B27" s="203"/>
      <c r="C27" s="203"/>
      <c r="D27" s="203"/>
      <c r="E27" s="203"/>
      <c r="F27" s="41"/>
      <c r="G27" s="41"/>
      <c r="H27" s="42"/>
    </row>
    <row r="28" spans="1:8" x14ac:dyDescent="0.2">
      <c r="A28" s="202" t="s">
        <v>90</v>
      </c>
      <c r="B28" s="203"/>
      <c r="C28" s="203"/>
      <c r="D28" s="203"/>
      <c r="E28" s="203"/>
      <c r="F28" s="41"/>
      <c r="G28" s="41"/>
      <c r="H28" s="42"/>
    </row>
    <row r="29" spans="1:8" x14ac:dyDescent="0.2">
      <c r="A29" s="196" t="s">
        <v>8</v>
      </c>
      <c r="B29" s="197"/>
      <c r="C29" s="197"/>
      <c r="D29" s="197"/>
      <c r="E29" s="197"/>
      <c r="F29" s="33">
        <f>F27-F28</f>
        <v>0</v>
      </c>
      <c r="G29" s="33">
        <f t="shared" ref="G29" si="0">G27-G28</f>
        <v>0</v>
      </c>
      <c r="H29" s="33">
        <f>F29+G29</f>
        <v>0</v>
      </c>
    </row>
    <row r="30" spans="1:8" x14ac:dyDescent="0.2">
      <c r="A30" s="196" t="s">
        <v>9</v>
      </c>
      <c r="B30" s="197"/>
      <c r="C30" s="197"/>
      <c r="D30" s="197"/>
      <c r="E30" s="197"/>
      <c r="F30" s="33">
        <f>F22+F29</f>
        <v>-200000</v>
      </c>
      <c r="G30" s="33">
        <f>G22+G29</f>
        <v>120514.97</v>
      </c>
      <c r="H30" s="33">
        <f>H22+H29</f>
        <v>-79485.030000000261</v>
      </c>
    </row>
    <row r="31" spans="1:8" x14ac:dyDescent="0.2">
      <c r="A31" s="43"/>
      <c r="B31" s="38"/>
      <c r="C31" s="38"/>
      <c r="D31" s="38"/>
      <c r="E31" s="38"/>
      <c r="F31" s="40"/>
      <c r="G31" s="40"/>
      <c r="H31" s="40"/>
    </row>
    <row r="32" spans="1:8" ht="18" customHeight="1" x14ac:dyDescent="0.2">
      <c r="A32" s="200" t="s">
        <v>88</v>
      </c>
      <c r="B32" s="201"/>
      <c r="C32" s="201"/>
      <c r="D32" s="201"/>
      <c r="E32" s="201"/>
      <c r="F32" s="201"/>
      <c r="G32" s="201"/>
      <c r="H32" s="201"/>
    </row>
    <row r="33" spans="1:8" ht="18" customHeight="1" x14ac:dyDescent="0.2">
      <c r="A33" s="11"/>
      <c r="B33" s="21"/>
      <c r="C33" s="21"/>
      <c r="D33" s="21"/>
      <c r="E33" s="21"/>
      <c r="F33" s="21"/>
      <c r="G33" s="21"/>
      <c r="H33" s="21"/>
    </row>
    <row r="34" spans="1:8" x14ac:dyDescent="0.2">
      <c r="A34" s="27"/>
      <c r="B34" s="28"/>
      <c r="C34" s="28"/>
      <c r="D34" s="29"/>
      <c r="E34" s="30"/>
      <c r="F34" s="31" t="s">
        <v>231</v>
      </c>
      <c r="G34" s="31" t="s">
        <v>297</v>
      </c>
      <c r="H34" s="31" t="s">
        <v>298</v>
      </c>
    </row>
    <row r="35" spans="1:8" ht="15" customHeight="1" x14ac:dyDescent="0.2">
      <c r="A35" s="191" t="s">
        <v>91</v>
      </c>
      <c r="B35" s="192"/>
      <c r="C35" s="192"/>
      <c r="D35" s="192"/>
      <c r="E35" s="193"/>
      <c r="F35" s="44">
        <v>200000</v>
      </c>
      <c r="G35" s="44">
        <v>-120514.97</v>
      </c>
      <c r="H35" s="45">
        <f>F35+G35</f>
        <v>79485.03</v>
      </c>
    </row>
    <row r="36" spans="1:8" ht="15" customHeight="1" x14ac:dyDescent="0.2">
      <c r="A36" s="196" t="s">
        <v>92</v>
      </c>
      <c r="B36" s="197"/>
      <c r="C36" s="197"/>
      <c r="D36" s="197"/>
      <c r="E36" s="197"/>
      <c r="F36" s="46"/>
      <c r="G36" s="46"/>
      <c r="H36" s="47"/>
    </row>
    <row r="37" spans="1:8" ht="45" customHeight="1" x14ac:dyDescent="0.2">
      <c r="A37" s="204" t="s">
        <v>93</v>
      </c>
      <c r="B37" s="205"/>
      <c r="C37" s="205"/>
      <c r="D37" s="205"/>
      <c r="E37" s="206"/>
      <c r="F37" s="46">
        <f>F22+F29+F35-F36</f>
        <v>0</v>
      </c>
      <c r="G37" s="46">
        <f>G22+G29+G35-G36</f>
        <v>0</v>
      </c>
      <c r="H37" s="46">
        <f t="shared" ref="H37" si="1">H22+H29+H35-H36</f>
        <v>-2.6193447411060333E-10</v>
      </c>
    </row>
    <row r="38" spans="1:8" ht="18" customHeight="1" x14ac:dyDescent="0.2">
      <c r="A38" s="48"/>
      <c r="B38" s="49"/>
      <c r="C38" s="49"/>
      <c r="D38" s="49"/>
      <c r="E38" s="49"/>
      <c r="F38" s="49"/>
      <c r="G38" s="49"/>
      <c r="H38" s="49"/>
    </row>
    <row r="39" spans="1:8" ht="18" customHeight="1" x14ac:dyDescent="0.2">
      <c r="A39" s="207" t="s">
        <v>94</v>
      </c>
      <c r="B39" s="207"/>
      <c r="C39" s="207"/>
      <c r="D39" s="207"/>
      <c r="E39" s="207"/>
      <c r="F39" s="207"/>
      <c r="G39" s="207"/>
      <c r="H39" s="207"/>
    </row>
    <row r="40" spans="1:8" x14ac:dyDescent="0.2">
      <c r="A40" s="50"/>
      <c r="B40" s="51"/>
      <c r="C40" s="51"/>
      <c r="D40" s="51"/>
      <c r="E40" s="51"/>
      <c r="F40" s="52"/>
      <c r="G40" s="52"/>
      <c r="H40" s="52"/>
    </row>
    <row r="41" spans="1:8" x14ac:dyDescent="0.2">
      <c r="A41" s="53"/>
      <c r="B41" s="54"/>
      <c r="C41" s="54"/>
      <c r="D41" s="55"/>
      <c r="E41" s="56"/>
      <c r="F41" s="31" t="s">
        <v>231</v>
      </c>
      <c r="G41" s="31" t="s">
        <v>297</v>
      </c>
      <c r="H41" s="31" t="s">
        <v>298</v>
      </c>
    </row>
    <row r="42" spans="1:8" x14ac:dyDescent="0.2">
      <c r="A42" s="191" t="s">
        <v>91</v>
      </c>
      <c r="B42" s="192"/>
      <c r="C42" s="192"/>
      <c r="D42" s="192"/>
      <c r="E42" s="193"/>
      <c r="F42" s="44">
        <v>0</v>
      </c>
      <c r="G42" s="44">
        <f>F45</f>
        <v>0</v>
      </c>
      <c r="H42" s="45">
        <f>G45</f>
        <v>0</v>
      </c>
    </row>
    <row r="43" spans="1:8" ht="28.5" customHeight="1" x14ac:dyDescent="0.2">
      <c r="A43" s="191" t="s">
        <v>7</v>
      </c>
      <c r="B43" s="192"/>
      <c r="C43" s="192"/>
      <c r="D43" s="192"/>
      <c r="E43" s="193"/>
      <c r="F43" s="44">
        <v>0</v>
      </c>
      <c r="G43" s="44">
        <v>0</v>
      </c>
      <c r="H43" s="45">
        <v>0</v>
      </c>
    </row>
    <row r="44" spans="1:8" x14ac:dyDescent="0.2">
      <c r="A44" s="191" t="s">
        <v>95</v>
      </c>
      <c r="B44" s="194"/>
      <c r="C44" s="194"/>
      <c r="D44" s="194"/>
      <c r="E44" s="195"/>
      <c r="F44" s="44">
        <v>0</v>
      </c>
      <c r="G44" s="44">
        <v>0</v>
      </c>
      <c r="H44" s="45">
        <v>0</v>
      </c>
    </row>
    <row r="45" spans="1:8" ht="15" customHeight="1" x14ac:dyDescent="0.2">
      <c r="A45" s="196" t="s">
        <v>92</v>
      </c>
      <c r="B45" s="197"/>
      <c r="C45" s="197"/>
      <c r="D45" s="197"/>
      <c r="E45" s="197"/>
      <c r="F45" s="57">
        <f t="shared" ref="F45:H45" si="2">F42-F43+F44</f>
        <v>0</v>
      </c>
      <c r="G45" s="57">
        <f t="shared" si="2"/>
        <v>0</v>
      </c>
      <c r="H45" s="58">
        <f t="shared" si="2"/>
        <v>0</v>
      </c>
    </row>
    <row r="46" spans="1:8" ht="17.25" customHeight="1" x14ac:dyDescent="0.2"/>
    <row r="47" spans="1:8" x14ac:dyDescent="0.2">
      <c r="A47" s="59"/>
      <c r="B47" s="60"/>
      <c r="C47" s="60"/>
      <c r="D47" s="60"/>
      <c r="E47" s="60"/>
      <c r="F47" s="61"/>
      <c r="G47" s="61"/>
      <c r="H47" s="61"/>
    </row>
  </sheetData>
  <mergeCells count="27">
    <mergeCell ref="A3:H3"/>
    <mergeCell ref="A21:E21"/>
    <mergeCell ref="A22:E22"/>
    <mergeCell ref="A5:H5"/>
    <mergeCell ref="A6:H6"/>
    <mergeCell ref="A16:E16"/>
    <mergeCell ref="A17:E17"/>
    <mergeCell ref="A18:E18"/>
    <mergeCell ref="A8:H8"/>
    <mergeCell ref="A10:H10"/>
    <mergeCell ref="A11:H11"/>
    <mergeCell ref="A43:E43"/>
    <mergeCell ref="A44:E44"/>
    <mergeCell ref="A45:E45"/>
    <mergeCell ref="A20:E20"/>
    <mergeCell ref="A13:H13"/>
    <mergeCell ref="A24:H24"/>
    <mergeCell ref="A27:E27"/>
    <mergeCell ref="A28:E28"/>
    <mergeCell ref="A37:E37"/>
    <mergeCell ref="A39:H39"/>
    <mergeCell ref="A42:E42"/>
    <mergeCell ref="A29:E29"/>
    <mergeCell ref="A30:E30"/>
    <mergeCell ref="A32:H32"/>
    <mergeCell ref="A35:E35"/>
    <mergeCell ref="A36:E36"/>
  </mergeCells>
  <pageMargins left="0.51181102362204722" right="0.31496062992125984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opLeftCell="A7" zoomScale="120" zoomScaleNormal="120" workbookViewId="0">
      <selection activeCell="A8" sqref="A8:G8"/>
    </sheetView>
  </sheetViews>
  <sheetFormatPr defaultRowHeight="12.95" customHeight="1" x14ac:dyDescent="0.2"/>
  <cols>
    <col min="1" max="1" width="6.85546875" style="2" customWidth="1"/>
    <col min="2" max="2" width="7.42578125" style="2" customWidth="1"/>
    <col min="3" max="3" width="57" style="2" customWidth="1"/>
    <col min="4" max="6" width="19.28515625" style="2" customWidth="1"/>
    <col min="7" max="16384" width="9.140625" style="2"/>
  </cols>
  <sheetData>
    <row r="1" spans="1:7" ht="12.75" customHeight="1" x14ac:dyDescent="0.2">
      <c r="A1" s="200" t="s">
        <v>157</v>
      </c>
      <c r="B1" s="200"/>
      <c r="C1" s="200"/>
      <c r="D1" s="200"/>
      <c r="E1" s="200"/>
      <c r="F1" s="200"/>
    </row>
    <row r="2" spans="1:7" ht="12.75" customHeight="1" x14ac:dyDescent="0.2">
      <c r="B2" s="11"/>
      <c r="C2" s="11"/>
      <c r="D2" s="11"/>
      <c r="E2" s="11"/>
    </row>
    <row r="3" spans="1:7" ht="12.75" customHeight="1" x14ac:dyDescent="0.2">
      <c r="A3" s="214" t="s">
        <v>308</v>
      </c>
      <c r="B3" s="214"/>
      <c r="C3" s="214"/>
      <c r="D3" s="214"/>
      <c r="E3" s="214"/>
      <c r="F3" s="214"/>
      <c r="G3" s="214"/>
    </row>
    <row r="4" spans="1:7" ht="12.75" customHeight="1" x14ac:dyDescent="0.2">
      <c r="A4" s="214" t="s">
        <v>309</v>
      </c>
      <c r="B4" s="214"/>
      <c r="C4" s="214"/>
      <c r="D4" s="214"/>
      <c r="E4" s="214"/>
      <c r="F4" s="214"/>
    </row>
    <row r="5" spans="1:7" ht="12.75" customHeight="1" x14ac:dyDescent="0.2">
      <c r="C5" s="11"/>
      <c r="D5" s="20"/>
      <c r="E5" s="20"/>
    </row>
    <row r="6" spans="1:7" ht="12.75" customHeight="1" x14ac:dyDescent="0.2">
      <c r="A6" s="200" t="s">
        <v>300</v>
      </c>
      <c r="B6" s="200"/>
      <c r="C6" s="200"/>
      <c r="D6" s="200"/>
      <c r="E6" s="200"/>
      <c r="F6" s="200"/>
    </row>
    <row r="7" spans="1:7" ht="12.75" customHeight="1" x14ac:dyDescent="0.2">
      <c r="B7" s="11"/>
      <c r="C7" s="11"/>
      <c r="D7" s="20"/>
      <c r="E7" s="20"/>
    </row>
    <row r="8" spans="1:7" ht="12.75" customHeight="1" x14ac:dyDescent="0.2">
      <c r="A8" s="216" t="s">
        <v>307</v>
      </c>
      <c r="B8" s="216"/>
      <c r="C8" s="216"/>
      <c r="D8" s="216"/>
      <c r="E8" s="216"/>
      <c r="F8" s="216"/>
      <c r="G8" s="216"/>
    </row>
    <row r="9" spans="1:7" ht="12.75" customHeight="1" x14ac:dyDescent="0.2">
      <c r="A9" s="217" t="s">
        <v>313</v>
      </c>
      <c r="B9" s="217"/>
      <c r="C9" s="217"/>
      <c r="D9" s="217"/>
      <c r="E9" s="217"/>
      <c r="F9" s="217"/>
    </row>
    <row r="10" spans="1:7" ht="12.75" customHeight="1" x14ac:dyDescent="0.2">
      <c r="A10" s="11"/>
      <c r="B10" s="11"/>
      <c r="C10" s="11"/>
      <c r="D10" s="11"/>
      <c r="E10" s="20"/>
      <c r="F10" s="20"/>
    </row>
    <row r="11" spans="1:7" ht="12.75" customHeight="1" x14ac:dyDescent="0.2">
      <c r="A11" s="200" t="s">
        <v>96</v>
      </c>
      <c r="B11" s="215"/>
      <c r="C11" s="215"/>
      <c r="D11" s="215"/>
      <c r="E11" s="215"/>
      <c r="F11" s="215"/>
    </row>
    <row r="12" spans="1:7" ht="12.75" customHeight="1" x14ac:dyDescent="0.2">
      <c r="A12" s="11"/>
      <c r="B12" s="11"/>
      <c r="C12" s="11"/>
      <c r="D12" s="11"/>
      <c r="E12" s="20"/>
      <c r="F12" s="20"/>
    </row>
    <row r="13" spans="1:7" ht="22.5" customHeight="1" x14ac:dyDescent="0.2">
      <c r="A13" s="64" t="s">
        <v>11</v>
      </c>
      <c r="B13" s="65" t="s">
        <v>12</v>
      </c>
      <c r="C13" s="65" t="s">
        <v>10</v>
      </c>
      <c r="D13" s="64" t="s">
        <v>231</v>
      </c>
      <c r="E13" s="64" t="s">
        <v>297</v>
      </c>
      <c r="F13" s="64" t="s">
        <v>298</v>
      </c>
    </row>
    <row r="14" spans="1:7" ht="12.75" customHeight="1" x14ac:dyDescent="0.2">
      <c r="A14" s="64"/>
      <c r="B14" s="65"/>
      <c r="C14" s="66" t="s">
        <v>158</v>
      </c>
      <c r="D14" s="67">
        <f>D15+D21</f>
        <v>2044186</v>
      </c>
      <c r="E14" s="67">
        <f>E15+E21</f>
        <v>53790</v>
      </c>
      <c r="F14" s="67">
        <f>F15+F21</f>
        <v>2097976</v>
      </c>
    </row>
    <row r="15" spans="1:7" ht="12.75" customHeight="1" x14ac:dyDescent="0.2">
      <c r="A15" s="68">
        <v>6</v>
      </c>
      <c r="B15" s="68"/>
      <c r="C15" s="68" t="s">
        <v>14</v>
      </c>
      <c r="D15" s="8">
        <f>D16+D17+D18+D19+D20</f>
        <v>2043686</v>
      </c>
      <c r="E15" s="8">
        <f>E16+E17+E18+E19+E20</f>
        <v>53090</v>
      </c>
      <c r="F15" s="8">
        <f>F16+F17+F18+F19+F20</f>
        <v>2096776</v>
      </c>
    </row>
    <row r="16" spans="1:7" ht="12.75" customHeight="1" x14ac:dyDescent="0.2">
      <c r="A16" s="68"/>
      <c r="B16" s="69">
        <v>61</v>
      </c>
      <c r="C16" s="70" t="s">
        <v>15</v>
      </c>
      <c r="D16" s="7">
        <v>348700</v>
      </c>
      <c r="E16" s="7">
        <f>5000-20000+25000+2500+1000</f>
        <v>13500</v>
      </c>
      <c r="F16" s="7">
        <f>D16+E16</f>
        <v>362200</v>
      </c>
    </row>
    <row r="17" spans="1:6" ht="12.75" customHeight="1" x14ac:dyDescent="0.2">
      <c r="A17" s="71"/>
      <c r="B17" s="71">
        <v>63</v>
      </c>
      <c r="C17" s="72" t="s">
        <v>42</v>
      </c>
      <c r="D17" s="7">
        <f>1222005+85750</f>
        <v>1307755</v>
      </c>
      <c r="E17" s="7">
        <f>-2200-1910+8000-1700-15000+14000+5000-50000+27000-15000+46400</f>
        <v>14590</v>
      </c>
      <c r="F17" s="7">
        <f t="shared" ref="F17:F20" si="0">D17+E17</f>
        <v>1322345</v>
      </c>
    </row>
    <row r="18" spans="1:6" ht="12.75" customHeight="1" x14ac:dyDescent="0.2">
      <c r="A18" s="71"/>
      <c r="B18" s="71">
        <v>64</v>
      </c>
      <c r="C18" s="73" t="s">
        <v>40</v>
      </c>
      <c r="D18" s="7">
        <v>198273</v>
      </c>
      <c r="E18" s="7"/>
      <c r="F18" s="7">
        <f t="shared" si="0"/>
        <v>198273</v>
      </c>
    </row>
    <row r="19" spans="1:6" ht="24" customHeight="1" x14ac:dyDescent="0.2">
      <c r="A19" s="71"/>
      <c r="B19" s="71">
        <v>65</v>
      </c>
      <c r="C19" s="72" t="s">
        <v>44</v>
      </c>
      <c r="D19" s="7">
        <v>188008</v>
      </c>
      <c r="E19" s="7">
        <f>25000</f>
        <v>25000</v>
      </c>
      <c r="F19" s="7">
        <f t="shared" si="0"/>
        <v>213008</v>
      </c>
    </row>
    <row r="20" spans="1:6" ht="24.75" customHeight="1" x14ac:dyDescent="0.2">
      <c r="A20" s="71"/>
      <c r="B20" s="71">
        <v>66</v>
      </c>
      <c r="C20" s="72" t="s">
        <v>45</v>
      </c>
      <c r="D20" s="7">
        <v>950</v>
      </c>
      <c r="E20" s="7"/>
      <c r="F20" s="7">
        <f t="shared" si="0"/>
        <v>950</v>
      </c>
    </row>
    <row r="21" spans="1:6" ht="12.75" customHeight="1" x14ac:dyDescent="0.2">
      <c r="A21" s="76">
        <v>7</v>
      </c>
      <c r="B21" s="76"/>
      <c r="C21" s="77" t="s">
        <v>17</v>
      </c>
      <c r="D21" s="4">
        <f t="shared" ref="D21:F21" si="1">D22</f>
        <v>500</v>
      </c>
      <c r="E21" s="4">
        <f t="shared" si="1"/>
        <v>700</v>
      </c>
      <c r="F21" s="4">
        <f t="shared" si="1"/>
        <v>1200</v>
      </c>
    </row>
    <row r="22" spans="1:6" ht="12.75" customHeight="1" x14ac:dyDescent="0.2">
      <c r="A22" s="69"/>
      <c r="B22" s="69">
        <v>72</v>
      </c>
      <c r="C22" s="78" t="s">
        <v>43</v>
      </c>
      <c r="D22" s="7">
        <v>500</v>
      </c>
      <c r="E22" s="7">
        <v>700</v>
      </c>
      <c r="F22" s="9">
        <f>D22+E22</f>
        <v>1200</v>
      </c>
    </row>
    <row r="23" spans="1:6" ht="12.75" customHeight="1" x14ac:dyDescent="0.2">
      <c r="E23" s="34"/>
      <c r="F23" s="34"/>
    </row>
    <row r="24" spans="1:6" ht="12.75" customHeight="1" x14ac:dyDescent="0.2">
      <c r="A24" s="200" t="s">
        <v>97</v>
      </c>
      <c r="B24" s="215"/>
      <c r="C24" s="215"/>
      <c r="D24" s="215"/>
      <c r="E24" s="215"/>
      <c r="F24" s="215"/>
    </row>
    <row r="25" spans="1:6" ht="12.75" customHeight="1" x14ac:dyDescent="0.2">
      <c r="A25" s="11"/>
      <c r="B25" s="11"/>
      <c r="C25" s="11"/>
      <c r="D25" s="11"/>
      <c r="E25" s="20"/>
      <c r="F25" s="20"/>
    </row>
    <row r="26" spans="1:6" ht="22.5" customHeight="1" x14ac:dyDescent="0.2">
      <c r="A26" s="64" t="s">
        <v>11</v>
      </c>
      <c r="B26" s="65" t="s">
        <v>12</v>
      </c>
      <c r="C26" s="65" t="s">
        <v>19</v>
      </c>
      <c r="D26" s="64" t="s">
        <v>231</v>
      </c>
      <c r="E26" s="64" t="s">
        <v>297</v>
      </c>
      <c r="F26" s="64" t="s">
        <v>298</v>
      </c>
    </row>
    <row r="27" spans="1:6" ht="12.75" customHeight="1" x14ac:dyDescent="0.2">
      <c r="A27" s="64"/>
      <c r="B27" s="65"/>
      <c r="C27" s="66" t="s">
        <v>159</v>
      </c>
      <c r="D27" s="67">
        <f>D28+D36</f>
        <v>2244186</v>
      </c>
      <c r="E27" s="67">
        <f>E28+E36</f>
        <v>-66724.97</v>
      </c>
      <c r="F27" s="67">
        <f>F28+F36</f>
        <v>2177461.0300000003</v>
      </c>
    </row>
    <row r="28" spans="1:6" ht="12.75" customHeight="1" x14ac:dyDescent="0.2">
      <c r="A28" s="68">
        <v>3</v>
      </c>
      <c r="B28" s="68"/>
      <c r="C28" s="68" t="s">
        <v>20</v>
      </c>
      <c r="D28" s="4">
        <f>D29+D30+D31+D32+D33+D34+D35</f>
        <v>1249436</v>
      </c>
      <c r="E28" s="4">
        <f>E29+E30+E31+E32+E33+E34+E35</f>
        <v>-1224.9700000000012</v>
      </c>
      <c r="F28" s="4">
        <f>F29+F30+F31+F32+F33+F34+F35</f>
        <v>1248211.03</v>
      </c>
    </row>
    <row r="29" spans="1:6" ht="12.75" customHeight="1" x14ac:dyDescent="0.2">
      <c r="A29" s="68"/>
      <c r="B29" s="69">
        <v>31</v>
      </c>
      <c r="C29" s="70" t="s">
        <v>21</v>
      </c>
      <c r="D29" s="7">
        <v>568445</v>
      </c>
      <c r="E29" s="7">
        <f>70</f>
        <v>70</v>
      </c>
      <c r="F29" s="7">
        <f>D29+E29</f>
        <v>568515</v>
      </c>
    </row>
    <row r="30" spans="1:6" ht="12.75" customHeight="1" x14ac:dyDescent="0.2">
      <c r="A30" s="74"/>
      <c r="B30" s="79">
        <v>32</v>
      </c>
      <c r="C30" s="80" t="s">
        <v>32</v>
      </c>
      <c r="D30" s="7">
        <v>415617</v>
      </c>
      <c r="E30" s="7">
        <f>-1240-4000+4800+4000-1454.97-300+3192-51000-2000-2000-1000+1000+2400+500+200+3000</f>
        <v>-43902.97</v>
      </c>
      <c r="F30" s="7">
        <f t="shared" ref="F30:F35" si="2">D30+E30</f>
        <v>371714.03</v>
      </c>
    </row>
    <row r="31" spans="1:6" ht="12.75" customHeight="1" x14ac:dyDescent="0.2">
      <c r="A31" s="74"/>
      <c r="B31" s="74">
        <v>34</v>
      </c>
      <c r="C31" s="81" t="s">
        <v>84</v>
      </c>
      <c r="D31" s="7">
        <v>4392</v>
      </c>
      <c r="E31" s="7"/>
      <c r="F31" s="7">
        <f t="shared" si="2"/>
        <v>4392</v>
      </c>
    </row>
    <row r="32" spans="1:6" ht="12.75" customHeight="1" x14ac:dyDescent="0.2">
      <c r="A32" s="74"/>
      <c r="B32" s="74">
        <v>35</v>
      </c>
      <c r="C32" s="81" t="s">
        <v>46</v>
      </c>
      <c r="D32" s="7">
        <v>21300</v>
      </c>
      <c r="E32" s="7">
        <f>4000-3000+200</f>
        <v>1200</v>
      </c>
      <c r="F32" s="7">
        <f t="shared" si="2"/>
        <v>22500</v>
      </c>
    </row>
    <row r="33" spans="1:6" ht="12.75" customHeight="1" x14ac:dyDescent="0.2">
      <c r="A33" s="74"/>
      <c r="B33" s="74">
        <v>36</v>
      </c>
      <c r="C33" s="75" t="s">
        <v>47</v>
      </c>
      <c r="D33" s="7">
        <v>45592</v>
      </c>
      <c r="E33" s="7">
        <f>1000-3192-2400-100</f>
        <v>-4692</v>
      </c>
      <c r="F33" s="7">
        <f t="shared" si="2"/>
        <v>40900</v>
      </c>
    </row>
    <row r="34" spans="1:6" ht="12" customHeight="1" x14ac:dyDescent="0.2">
      <c r="A34" s="74"/>
      <c r="B34" s="74">
        <v>37</v>
      </c>
      <c r="C34" s="75" t="s">
        <v>48</v>
      </c>
      <c r="D34" s="7">
        <v>66300</v>
      </c>
      <c r="E34" s="7">
        <f>-2000+13100+500</f>
        <v>11600</v>
      </c>
      <c r="F34" s="7">
        <f t="shared" si="2"/>
        <v>77900</v>
      </c>
    </row>
    <row r="35" spans="1:6" ht="12.75" customHeight="1" x14ac:dyDescent="0.2">
      <c r="A35" s="74"/>
      <c r="B35" s="74">
        <v>38</v>
      </c>
      <c r="C35" s="81" t="s">
        <v>49</v>
      </c>
      <c r="D35" s="7">
        <v>127790</v>
      </c>
      <c r="E35" s="7">
        <f>2000-1500+30000+4000</f>
        <v>34500</v>
      </c>
      <c r="F35" s="7">
        <f t="shared" si="2"/>
        <v>162290</v>
      </c>
    </row>
    <row r="36" spans="1:6" ht="12.75" customHeight="1" x14ac:dyDescent="0.2">
      <c r="A36" s="82">
        <v>4</v>
      </c>
      <c r="B36" s="82"/>
      <c r="C36" s="83" t="s">
        <v>22</v>
      </c>
      <c r="D36" s="4">
        <f>D37+D38</f>
        <v>994750</v>
      </c>
      <c r="E36" s="4">
        <f>E37+E38</f>
        <v>-65500</v>
      </c>
      <c r="F36" s="4">
        <f>F37+F38</f>
        <v>929250</v>
      </c>
    </row>
    <row r="37" spans="1:6" ht="12.75" customHeight="1" x14ac:dyDescent="0.2">
      <c r="A37" s="69"/>
      <c r="B37" s="69">
        <v>42</v>
      </c>
      <c r="C37" s="78" t="s">
        <v>39</v>
      </c>
      <c r="D37" s="7">
        <f>737000+85750</f>
        <v>822750</v>
      </c>
      <c r="E37" s="7">
        <f>10000-3500+10000-7000-5000-20000</f>
        <v>-15500</v>
      </c>
      <c r="F37" s="9">
        <f>D37+E37</f>
        <v>807250</v>
      </c>
    </row>
    <row r="38" spans="1:6" ht="12.75" customHeight="1" x14ac:dyDescent="0.2">
      <c r="A38" s="69"/>
      <c r="B38" s="69">
        <v>45</v>
      </c>
      <c r="C38" s="78" t="s">
        <v>50</v>
      </c>
      <c r="D38" s="7">
        <v>172000</v>
      </c>
      <c r="E38" s="7">
        <f>-25000-30000+5000</f>
        <v>-50000</v>
      </c>
      <c r="F38" s="9">
        <f>D38+E38</f>
        <v>122000</v>
      </c>
    </row>
    <row r="39" spans="1:6" ht="12.75" customHeight="1" x14ac:dyDescent="0.2">
      <c r="D39" s="34"/>
      <c r="E39" s="34"/>
      <c r="F39" s="34"/>
    </row>
    <row r="40" spans="1:6" ht="12.75" customHeight="1" x14ac:dyDescent="0.2">
      <c r="D40" s="34"/>
    </row>
    <row r="41" spans="1:6" ht="12.75" customHeight="1" x14ac:dyDescent="0.2"/>
    <row r="42" spans="1:6" ht="12.75" customHeight="1" x14ac:dyDescent="0.2"/>
  </sheetData>
  <mergeCells count="8">
    <mergeCell ref="A1:F1"/>
    <mergeCell ref="A4:F4"/>
    <mergeCell ref="A6:F6"/>
    <mergeCell ref="A11:F11"/>
    <mergeCell ref="A24:F24"/>
    <mergeCell ref="A3:G3"/>
    <mergeCell ref="A8:G8"/>
    <mergeCell ref="A9:F9"/>
  </mergeCells>
  <pageMargins left="0.51181102362204722" right="0.31496062992125984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9B4D-E264-4279-B143-11BCC41A2856}">
  <dimension ref="A1:I57"/>
  <sheetViews>
    <sheetView zoomScale="120" zoomScaleNormal="120" workbookViewId="0">
      <selection activeCell="G14" sqref="G14"/>
    </sheetView>
  </sheetViews>
  <sheetFormatPr defaultRowHeight="15" customHeight="1" x14ac:dyDescent="0.2"/>
  <cols>
    <col min="1" max="1" width="67.85546875" style="2" customWidth="1"/>
    <col min="2" max="4" width="31.7109375" style="2" customWidth="1"/>
    <col min="5" max="16384" width="9.140625" style="2"/>
  </cols>
  <sheetData>
    <row r="1" spans="1:9" ht="15" customHeight="1" x14ac:dyDescent="0.2">
      <c r="A1" s="200" t="s">
        <v>163</v>
      </c>
      <c r="B1" s="200"/>
      <c r="C1" s="200"/>
      <c r="D1" s="200"/>
      <c r="E1" s="200"/>
      <c r="F1" s="185"/>
      <c r="G1" s="185"/>
      <c r="H1" s="185"/>
      <c r="I1" s="185"/>
    </row>
    <row r="2" spans="1:9" ht="15" customHeight="1" x14ac:dyDescent="0.2">
      <c r="A2" s="11"/>
      <c r="B2" s="11"/>
      <c r="C2" s="11"/>
      <c r="D2" s="11"/>
    </row>
    <row r="3" spans="1:9" ht="15" customHeight="1" x14ac:dyDescent="0.2">
      <c r="A3" s="2" t="s">
        <v>301</v>
      </c>
    </row>
    <row r="4" spans="1:9" ht="15" customHeight="1" x14ac:dyDescent="0.2">
      <c r="A4" s="11"/>
      <c r="B4" s="11"/>
      <c r="C4" s="11"/>
      <c r="D4" s="11"/>
    </row>
    <row r="5" spans="1:9" ht="15" customHeight="1" x14ac:dyDescent="0.2">
      <c r="A5" s="200" t="s">
        <v>98</v>
      </c>
      <c r="B5" s="200"/>
      <c r="C5" s="200"/>
      <c r="D5" s="200"/>
      <c r="E5" s="200"/>
      <c r="F5" s="185"/>
      <c r="G5" s="185"/>
      <c r="H5" s="185"/>
      <c r="I5" s="185"/>
    </row>
    <row r="6" spans="1:9" ht="15" customHeight="1" x14ac:dyDescent="0.2">
      <c r="A6" s="11"/>
      <c r="B6" s="11"/>
      <c r="C6" s="11"/>
      <c r="D6" s="11"/>
      <c r="E6" s="11"/>
      <c r="F6" s="185"/>
      <c r="G6" s="185"/>
      <c r="H6" s="185"/>
      <c r="I6" s="185"/>
    </row>
    <row r="7" spans="1:9" ht="15" customHeight="1" x14ac:dyDescent="0.2">
      <c r="A7" s="11"/>
      <c r="B7" s="63"/>
      <c r="C7" s="63"/>
      <c r="D7" s="63"/>
    </row>
    <row r="8" spans="1:9" ht="21" customHeight="1" x14ac:dyDescent="0.2">
      <c r="A8" s="183" t="s">
        <v>232</v>
      </c>
      <c r="B8" s="64" t="s">
        <v>231</v>
      </c>
      <c r="C8" s="64" t="s">
        <v>297</v>
      </c>
      <c r="D8" s="64" t="s">
        <v>298</v>
      </c>
    </row>
    <row r="9" spans="1:9" ht="15" customHeight="1" x14ac:dyDescent="0.2">
      <c r="A9" s="85" t="s">
        <v>0</v>
      </c>
      <c r="B9" s="86">
        <f>B10+B14+B15+B18+B25+B28+B29+B31</f>
        <v>2044186</v>
      </c>
      <c r="C9" s="86">
        <f>C10+C14+C15+C18+C25+C28+C29+C31</f>
        <v>53790</v>
      </c>
      <c r="D9" s="86">
        <f>D10+D14+D15+D18+D25+D28+D29+D31</f>
        <v>2097976</v>
      </c>
    </row>
    <row r="10" spans="1:9" ht="15" customHeight="1" x14ac:dyDescent="0.2">
      <c r="A10" s="87" t="s">
        <v>233</v>
      </c>
      <c r="B10" s="88">
        <f>B11+B12+B13</f>
        <v>545510</v>
      </c>
      <c r="C10" s="88">
        <f>C11+C12+C13</f>
        <v>7491.670000000001</v>
      </c>
      <c r="D10" s="88">
        <f>D11+D12+D13</f>
        <v>553001.66999999993</v>
      </c>
    </row>
    <row r="11" spans="1:9" ht="15" customHeight="1" x14ac:dyDescent="0.2">
      <c r="A11" s="87" t="s">
        <v>234</v>
      </c>
      <c r="B11" s="88">
        <f>348700</f>
        <v>348700</v>
      </c>
      <c r="C11" s="7">
        <f>13500-63.39-6644.94</f>
        <v>6791.670000000001</v>
      </c>
      <c r="D11" s="89">
        <f>B11+C11</f>
        <v>355491.67</v>
      </c>
    </row>
    <row r="12" spans="1:9" ht="15" customHeight="1" x14ac:dyDescent="0.2">
      <c r="A12" s="87" t="s">
        <v>235</v>
      </c>
      <c r="B12" s="88">
        <f>50</f>
        <v>50</v>
      </c>
      <c r="C12" s="7"/>
      <c r="D12" s="89">
        <f t="shared" ref="D12:D13" si="0">B12+C12</f>
        <v>50</v>
      </c>
    </row>
    <row r="13" spans="1:9" ht="15" customHeight="1" x14ac:dyDescent="0.2">
      <c r="A13" s="87" t="s">
        <v>236</v>
      </c>
      <c r="B13" s="88">
        <f>193173+500+950-2800+5050-113</f>
        <v>196760</v>
      </c>
      <c r="C13" s="7">
        <v>700</v>
      </c>
      <c r="D13" s="89">
        <f t="shared" si="0"/>
        <v>197460</v>
      </c>
    </row>
    <row r="14" spans="1:9" ht="15" customHeight="1" x14ac:dyDescent="0.2">
      <c r="A14" s="87" t="s">
        <v>237</v>
      </c>
      <c r="B14" s="88"/>
      <c r="C14" s="7"/>
      <c r="D14" s="89"/>
    </row>
    <row r="15" spans="1:9" ht="15" customHeight="1" x14ac:dyDescent="0.2">
      <c r="A15" s="87" t="s">
        <v>238</v>
      </c>
      <c r="B15" s="88">
        <f t="shared" ref="B15:D15" si="1">B16</f>
        <v>43508</v>
      </c>
      <c r="C15" s="88">
        <f t="shared" si="1"/>
        <v>0</v>
      </c>
      <c r="D15" s="88">
        <f t="shared" si="1"/>
        <v>43508</v>
      </c>
    </row>
    <row r="16" spans="1:9" ht="15" customHeight="1" x14ac:dyDescent="0.2">
      <c r="A16" s="87" t="s">
        <v>239</v>
      </c>
      <c r="B16" s="88">
        <v>43508</v>
      </c>
      <c r="C16" s="7"/>
      <c r="D16" s="89">
        <f>B16+C16</f>
        <v>43508</v>
      </c>
    </row>
    <row r="17" spans="1:4" ht="15" customHeight="1" x14ac:dyDescent="0.2">
      <c r="A17" s="87" t="s">
        <v>240</v>
      </c>
      <c r="B17" s="88"/>
      <c r="C17" s="7"/>
      <c r="D17" s="89"/>
    </row>
    <row r="18" spans="1:4" ht="15" customHeight="1" x14ac:dyDescent="0.2">
      <c r="A18" s="91" t="s">
        <v>241</v>
      </c>
      <c r="B18" s="90">
        <f>B19+B20+B21+B22+B23+B24</f>
        <v>147413</v>
      </c>
      <c r="C18" s="90">
        <f t="shared" ref="C18:D18" si="2">C19+C20+C21+C22+C23+C24</f>
        <v>25063.39</v>
      </c>
      <c r="D18" s="90">
        <f t="shared" si="2"/>
        <v>172476.39</v>
      </c>
    </row>
    <row r="19" spans="1:4" ht="15" customHeight="1" x14ac:dyDescent="0.2">
      <c r="A19" s="92" t="s">
        <v>242</v>
      </c>
      <c r="B19" s="90">
        <v>12000</v>
      </c>
      <c r="C19" s="7"/>
      <c r="D19" s="89">
        <f>B19+C19</f>
        <v>12000</v>
      </c>
    </row>
    <row r="20" spans="1:4" ht="15" customHeight="1" x14ac:dyDescent="0.2">
      <c r="A20" s="92" t="s">
        <v>243</v>
      </c>
      <c r="B20" s="90">
        <v>17000</v>
      </c>
      <c r="C20" s="7"/>
      <c r="D20" s="89">
        <f t="shared" ref="D20:D24" si="3">B20+C20</f>
        <v>17000</v>
      </c>
    </row>
    <row r="21" spans="1:4" ht="15" customHeight="1" x14ac:dyDescent="0.2">
      <c r="A21" s="92" t="s">
        <v>244</v>
      </c>
      <c r="B21" s="90">
        <v>115000</v>
      </c>
      <c r="C21" s="7">
        <v>25000</v>
      </c>
      <c r="D21" s="89">
        <f t="shared" si="3"/>
        <v>140000</v>
      </c>
    </row>
    <row r="22" spans="1:4" ht="15" customHeight="1" x14ac:dyDescent="0.2">
      <c r="A22" s="92" t="s">
        <v>245</v>
      </c>
      <c r="B22" s="90">
        <v>2800</v>
      </c>
      <c r="C22" s="7"/>
      <c r="D22" s="89">
        <f t="shared" si="3"/>
        <v>2800</v>
      </c>
    </row>
    <row r="23" spans="1:4" ht="15" customHeight="1" x14ac:dyDescent="0.2">
      <c r="A23" s="92" t="s">
        <v>246</v>
      </c>
      <c r="B23" s="90">
        <v>200</v>
      </c>
      <c r="C23" s="7">
        <v>63.39</v>
      </c>
      <c r="D23" s="89">
        <f t="shared" si="3"/>
        <v>263.39</v>
      </c>
    </row>
    <row r="24" spans="1:4" ht="15" customHeight="1" x14ac:dyDescent="0.2">
      <c r="A24" s="92" t="s">
        <v>275</v>
      </c>
      <c r="B24" s="90">
        <f>300+83+30</f>
        <v>413</v>
      </c>
      <c r="C24" s="7"/>
      <c r="D24" s="89">
        <f t="shared" si="3"/>
        <v>413</v>
      </c>
    </row>
    <row r="25" spans="1:4" ht="15" customHeight="1" x14ac:dyDescent="0.2">
      <c r="A25" s="87" t="s">
        <v>247</v>
      </c>
      <c r="B25" s="88">
        <f t="shared" ref="B25:D25" si="4">B26+B27</f>
        <v>1307755</v>
      </c>
      <c r="C25" s="88">
        <f t="shared" si="4"/>
        <v>21234.94</v>
      </c>
      <c r="D25" s="88">
        <f t="shared" si="4"/>
        <v>1328989.94</v>
      </c>
    </row>
    <row r="26" spans="1:4" ht="15" customHeight="1" x14ac:dyDescent="0.2">
      <c r="A26" s="87" t="s">
        <v>248</v>
      </c>
      <c r="B26" s="88">
        <f>106185+10000+315750</f>
        <v>431935</v>
      </c>
      <c r="C26" s="7"/>
      <c r="D26" s="89">
        <f>B26+C26</f>
        <v>431935</v>
      </c>
    </row>
    <row r="27" spans="1:4" ht="15" customHeight="1" x14ac:dyDescent="0.2">
      <c r="A27" s="87" t="s">
        <v>249</v>
      </c>
      <c r="B27" s="88">
        <v>875820</v>
      </c>
      <c r="C27" s="7">
        <f>-2200-1910+8000-1700-15000+5000-50000+27000-15000+46400+14000+6644.94</f>
        <v>21234.94</v>
      </c>
      <c r="D27" s="89">
        <f t="shared" ref="D27" si="5">B27+C27</f>
        <v>897054.94</v>
      </c>
    </row>
    <row r="28" spans="1:4" ht="15" customHeight="1" x14ac:dyDescent="0.2">
      <c r="A28" s="87" t="s">
        <v>250</v>
      </c>
      <c r="B28" s="88"/>
      <c r="C28" s="7"/>
      <c r="D28" s="89"/>
    </row>
    <row r="29" spans="1:4" ht="15" customHeight="1" x14ac:dyDescent="0.2">
      <c r="A29" s="93" t="s">
        <v>310</v>
      </c>
      <c r="B29" s="226"/>
      <c r="C29" s="222"/>
      <c r="D29" s="224"/>
    </row>
    <row r="30" spans="1:4" ht="15" customHeight="1" x14ac:dyDescent="0.2">
      <c r="A30" s="94" t="s">
        <v>311</v>
      </c>
      <c r="B30" s="227"/>
      <c r="C30" s="223"/>
      <c r="D30" s="225"/>
    </row>
    <row r="31" spans="1:4" ht="15" customHeight="1" x14ac:dyDescent="0.2">
      <c r="A31" s="91" t="s">
        <v>251</v>
      </c>
      <c r="B31" s="90"/>
      <c r="C31" s="7"/>
      <c r="D31" s="89"/>
    </row>
    <row r="32" spans="1:4" ht="15" customHeight="1" x14ac:dyDescent="0.2">
      <c r="A32" s="95"/>
      <c r="B32" s="96"/>
      <c r="C32" s="15"/>
      <c r="D32" s="15"/>
    </row>
    <row r="33" spans="1:5" ht="15" customHeight="1" x14ac:dyDescent="0.2">
      <c r="A33" s="200" t="s">
        <v>99</v>
      </c>
      <c r="B33" s="200"/>
      <c r="C33" s="200"/>
      <c r="D33" s="200"/>
      <c r="E33" s="200"/>
    </row>
    <row r="34" spans="1:5" ht="15" customHeight="1" x14ac:dyDescent="0.2">
      <c r="A34" s="11"/>
      <c r="B34" s="11"/>
      <c r="C34" s="11"/>
      <c r="D34" s="11"/>
    </row>
    <row r="35" spans="1:5" ht="21" customHeight="1" x14ac:dyDescent="0.2">
      <c r="A35" s="183" t="s">
        <v>232</v>
      </c>
      <c r="B35" s="64" t="s">
        <v>231</v>
      </c>
      <c r="C35" s="64" t="s">
        <v>297</v>
      </c>
      <c r="D35" s="64" t="s">
        <v>298</v>
      </c>
    </row>
    <row r="36" spans="1:5" ht="15" customHeight="1" x14ac:dyDescent="0.2">
      <c r="A36" s="85" t="s">
        <v>253</v>
      </c>
      <c r="B36" s="97">
        <f>B37+B41+B42+B44+B51+B54+B55+B57</f>
        <v>2244186</v>
      </c>
      <c r="C36" s="97">
        <f>C37+C41+C42+C44+C51+C54+C55+C57</f>
        <v>-66724.97</v>
      </c>
      <c r="D36" s="97">
        <f>D37+D41+D42+D44+D51+D54+D55+D57</f>
        <v>2177461.0300000003</v>
      </c>
    </row>
    <row r="37" spans="1:5" ht="15" customHeight="1" x14ac:dyDescent="0.2">
      <c r="A37" s="91" t="s">
        <v>252</v>
      </c>
      <c r="B37" s="90">
        <f>B38+B39+B40</f>
        <v>745510</v>
      </c>
      <c r="C37" s="90">
        <f>C38+C39+C40</f>
        <v>-122514.97</v>
      </c>
      <c r="D37" s="90">
        <f>D38+D39+D40</f>
        <v>622995.03</v>
      </c>
    </row>
    <row r="38" spans="1:5" ht="15" customHeight="1" x14ac:dyDescent="0.2">
      <c r="A38" s="87" t="s">
        <v>234</v>
      </c>
      <c r="B38" s="88">
        <v>335000</v>
      </c>
      <c r="C38" s="98">
        <f>30340-4000</f>
        <v>26340</v>
      </c>
      <c r="D38" s="98">
        <f>B38+C38</f>
        <v>361340</v>
      </c>
    </row>
    <row r="39" spans="1:5" ht="15" customHeight="1" x14ac:dyDescent="0.2">
      <c r="A39" s="87" t="s">
        <v>235</v>
      </c>
      <c r="B39" s="88">
        <v>50</v>
      </c>
      <c r="C39" s="98"/>
      <c r="D39" s="98">
        <f t="shared" ref="D39:D40" si="6">B39+C39</f>
        <v>50</v>
      </c>
    </row>
    <row r="40" spans="1:5" ht="15" customHeight="1" x14ac:dyDescent="0.2">
      <c r="A40" s="87" t="s">
        <v>236</v>
      </c>
      <c r="B40" s="88">
        <f>444981-39158+5050-300-113</f>
        <v>410460</v>
      </c>
      <c r="C40" s="98">
        <v>-148854.97</v>
      </c>
      <c r="D40" s="98">
        <f t="shared" si="6"/>
        <v>261605.03</v>
      </c>
    </row>
    <row r="41" spans="1:5" ht="15" customHeight="1" x14ac:dyDescent="0.2">
      <c r="A41" s="87" t="s">
        <v>237</v>
      </c>
      <c r="B41" s="88"/>
      <c r="C41" s="98"/>
      <c r="D41" s="98"/>
    </row>
    <row r="42" spans="1:5" ht="15" customHeight="1" x14ac:dyDescent="0.2">
      <c r="A42" s="87" t="s">
        <v>238</v>
      </c>
      <c r="B42" s="88">
        <f t="shared" ref="B42:D42" si="7">B43</f>
        <v>43508</v>
      </c>
      <c r="C42" s="88">
        <f t="shared" si="7"/>
        <v>0</v>
      </c>
      <c r="D42" s="88">
        <f t="shared" si="7"/>
        <v>43508</v>
      </c>
    </row>
    <row r="43" spans="1:5" ht="15" customHeight="1" x14ac:dyDescent="0.2">
      <c r="A43" s="87" t="s">
        <v>239</v>
      </c>
      <c r="B43" s="88">
        <v>43508</v>
      </c>
      <c r="C43" s="98"/>
      <c r="D43" s="98">
        <f>B43+C43</f>
        <v>43508</v>
      </c>
    </row>
    <row r="44" spans="1:5" ht="15" customHeight="1" x14ac:dyDescent="0.2">
      <c r="A44" s="91" t="s">
        <v>241</v>
      </c>
      <c r="B44" s="90">
        <f>B45+B46+B47+B48+B49+B50</f>
        <v>147413</v>
      </c>
      <c r="C44" s="90">
        <f t="shared" ref="C44:D44" si="8">C45+C46+C47+C48+C49+C50</f>
        <v>25000</v>
      </c>
      <c r="D44" s="90">
        <f t="shared" si="8"/>
        <v>172413</v>
      </c>
    </row>
    <row r="45" spans="1:5" ht="15" customHeight="1" x14ac:dyDescent="0.2">
      <c r="A45" s="92" t="s">
        <v>242</v>
      </c>
      <c r="B45" s="90">
        <v>12000</v>
      </c>
      <c r="C45" s="98"/>
      <c r="D45" s="98">
        <f>B45+C45</f>
        <v>12000</v>
      </c>
    </row>
    <row r="46" spans="1:5" ht="15" customHeight="1" x14ac:dyDescent="0.2">
      <c r="A46" s="92" t="s">
        <v>243</v>
      </c>
      <c r="B46" s="90">
        <v>17000</v>
      </c>
      <c r="C46" s="98"/>
      <c r="D46" s="98">
        <f t="shared" ref="D46:D50" si="9">B46+C46</f>
        <v>17000</v>
      </c>
    </row>
    <row r="47" spans="1:5" ht="15" customHeight="1" x14ac:dyDescent="0.2">
      <c r="A47" s="92" t="s">
        <v>244</v>
      </c>
      <c r="B47" s="90">
        <v>115000</v>
      </c>
      <c r="C47" s="98">
        <v>25000</v>
      </c>
      <c r="D47" s="98">
        <f t="shared" si="9"/>
        <v>140000</v>
      </c>
    </row>
    <row r="48" spans="1:5" ht="15" customHeight="1" x14ac:dyDescent="0.2">
      <c r="A48" s="92" t="s">
        <v>245</v>
      </c>
      <c r="B48" s="90">
        <v>2800</v>
      </c>
      <c r="C48" s="98"/>
      <c r="D48" s="98">
        <f t="shared" si="9"/>
        <v>2800</v>
      </c>
    </row>
    <row r="49" spans="1:4" ht="15" customHeight="1" x14ac:dyDescent="0.2">
      <c r="A49" s="92" t="s">
        <v>246</v>
      </c>
      <c r="B49" s="90">
        <v>200</v>
      </c>
      <c r="C49" s="98"/>
      <c r="D49" s="98">
        <f t="shared" si="9"/>
        <v>200</v>
      </c>
    </row>
    <row r="50" spans="1:4" ht="15" customHeight="1" x14ac:dyDescent="0.2">
      <c r="A50" s="92" t="s">
        <v>275</v>
      </c>
      <c r="B50" s="90">
        <f>300+83+30</f>
        <v>413</v>
      </c>
      <c r="C50" s="98"/>
      <c r="D50" s="98">
        <f t="shared" si="9"/>
        <v>413</v>
      </c>
    </row>
    <row r="51" spans="1:4" ht="15" customHeight="1" x14ac:dyDescent="0.2">
      <c r="A51" s="87" t="s">
        <v>247</v>
      </c>
      <c r="B51" s="88">
        <f t="shared" ref="B51:D51" si="10">B52+B53</f>
        <v>1307755</v>
      </c>
      <c r="C51" s="88">
        <f t="shared" si="10"/>
        <v>30790</v>
      </c>
      <c r="D51" s="88">
        <f t="shared" si="10"/>
        <v>1338545</v>
      </c>
    </row>
    <row r="52" spans="1:4" ht="15" customHeight="1" x14ac:dyDescent="0.2">
      <c r="A52" s="87" t="s">
        <v>248</v>
      </c>
      <c r="B52" s="88">
        <f>346185+85750</f>
        <v>431935</v>
      </c>
      <c r="C52" s="98">
        <v>-10000</v>
      </c>
      <c r="D52" s="98">
        <f>B52+C52</f>
        <v>421935</v>
      </c>
    </row>
    <row r="53" spans="1:4" ht="15" customHeight="1" x14ac:dyDescent="0.2">
      <c r="A53" s="87" t="s">
        <v>249</v>
      </c>
      <c r="B53" s="88">
        <f>875820</f>
        <v>875820</v>
      </c>
      <c r="C53" s="98">
        <f>36790+4000</f>
        <v>40790</v>
      </c>
      <c r="D53" s="98">
        <f>B53+C53</f>
        <v>916610</v>
      </c>
    </row>
    <row r="54" spans="1:4" ht="15" customHeight="1" x14ac:dyDescent="0.2">
      <c r="A54" s="87" t="s">
        <v>250</v>
      </c>
      <c r="B54" s="88"/>
      <c r="C54" s="98"/>
      <c r="D54" s="98"/>
    </row>
    <row r="55" spans="1:4" ht="15" customHeight="1" x14ac:dyDescent="0.2">
      <c r="A55" s="93" t="s">
        <v>310</v>
      </c>
      <c r="B55" s="220"/>
      <c r="C55" s="218"/>
      <c r="D55" s="218"/>
    </row>
    <row r="56" spans="1:4" ht="15" customHeight="1" x14ac:dyDescent="0.2">
      <c r="A56" s="101" t="s">
        <v>312</v>
      </c>
      <c r="B56" s="221"/>
      <c r="C56" s="219"/>
      <c r="D56" s="219"/>
    </row>
    <row r="57" spans="1:4" ht="15" customHeight="1" x14ac:dyDescent="0.2">
      <c r="A57" s="91" t="s">
        <v>251</v>
      </c>
      <c r="B57" s="90"/>
      <c r="C57" s="98"/>
      <c r="D57" s="98"/>
    </row>
  </sheetData>
  <mergeCells count="9">
    <mergeCell ref="A1:E1"/>
    <mergeCell ref="A5:E5"/>
    <mergeCell ref="C55:C56"/>
    <mergeCell ref="D55:D56"/>
    <mergeCell ref="B55:B56"/>
    <mergeCell ref="C29:C30"/>
    <mergeCell ref="D29:D30"/>
    <mergeCell ref="B29:B30"/>
    <mergeCell ref="A33:E33"/>
  </mergeCells>
  <pageMargins left="0.9055118110236221" right="0.19685039370078741" top="0.15748031496062992" bottom="0.15748031496062992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zoomScale="120" zoomScaleNormal="120" workbookViewId="0">
      <selection activeCell="C24" sqref="C24"/>
    </sheetView>
  </sheetViews>
  <sheetFormatPr defaultRowHeight="13.5" customHeight="1" x14ac:dyDescent="0.2"/>
  <cols>
    <col min="1" max="1" width="74.28515625" style="10" customWidth="1"/>
    <col min="2" max="4" width="23.7109375" style="2" customWidth="1"/>
    <col min="5" max="16384" width="9.140625" style="2"/>
  </cols>
  <sheetData>
    <row r="1" spans="1:5" ht="13.5" customHeight="1" x14ac:dyDescent="0.2">
      <c r="A1" s="200" t="s">
        <v>164</v>
      </c>
      <c r="B1" s="200"/>
      <c r="C1" s="200"/>
      <c r="D1" s="200"/>
      <c r="E1" s="200"/>
    </row>
    <row r="2" spans="1:5" ht="13.5" customHeight="1" x14ac:dyDescent="0.2">
      <c r="A2" s="11"/>
      <c r="B2" s="11"/>
      <c r="C2" s="11"/>
      <c r="D2" s="11"/>
      <c r="E2" s="11"/>
    </row>
    <row r="3" spans="1:5" ht="13.5" customHeight="1" x14ac:dyDescent="0.2">
      <c r="A3" s="212" t="s">
        <v>314</v>
      </c>
      <c r="B3" s="212"/>
      <c r="C3" s="212"/>
      <c r="D3" s="212"/>
      <c r="E3" s="212"/>
    </row>
    <row r="4" spans="1:5" ht="13.5" customHeight="1" x14ac:dyDescent="0.2">
      <c r="A4" s="62"/>
      <c r="B4" s="62"/>
      <c r="C4" s="62"/>
      <c r="D4" s="62"/>
      <c r="E4" s="62"/>
    </row>
    <row r="5" spans="1:5" ht="27.75" customHeight="1" x14ac:dyDescent="0.2">
      <c r="A5" s="184" t="s">
        <v>263</v>
      </c>
      <c r="B5" s="64" t="s">
        <v>231</v>
      </c>
      <c r="C5" s="64" t="s">
        <v>297</v>
      </c>
      <c r="D5" s="64" t="s">
        <v>298</v>
      </c>
      <c r="E5" s="62"/>
    </row>
    <row r="6" spans="1:5" ht="13.5" customHeight="1" x14ac:dyDescent="0.2">
      <c r="A6" s="3" t="s">
        <v>23</v>
      </c>
      <c r="B6" s="4">
        <f>B7+B11+B13+B15+B19+B22+B27+B29+B34+B39</f>
        <v>2244186</v>
      </c>
      <c r="C6" s="4">
        <f t="shared" ref="C6:D6" si="0">C7+C11+C13+C15+C19+C22+C27+C29+C34+C39</f>
        <v>-66724.97</v>
      </c>
      <c r="D6" s="4">
        <f t="shared" si="0"/>
        <v>2177461.0300000003</v>
      </c>
    </row>
    <row r="7" spans="1:5" ht="13.5" customHeight="1" x14ac:dyDescent="0.2">
      <c r="A7" s="3" t="s">
        <v>24</v>
      </c>
      <c r="B7" s="6">
        <f>B8+B9+B10</f>
        <v>382712</v>
      </c>
      <c r="C7" s="6">
        <f t="shared" ref="C7:D7" si="1">C8+C9+C10</f>
        <v>8375.0299999999988</v>
      </c>
      <c r="D7" s="6">
        <f t="shared" si="1"/>
        <v>391087.03</v>
      </c>
    </row>
    <row r="8" spans="1:5" ht="13.5" customHeight="1" x14ac:dyDescent="0.2">
      <c r="A8" s="5" t="s">
        <v>102</v>
      </c>
      <c r="B8" s="7">
        <f>95312-14100</f>
        <v>81212</v>
      </c>
      <c r="C8" s="7">
        <f>-1240-4000+4800</f>
        <v>-440</v>
      </c>
      <c r="D8" s="7">
        <f>B8+C8</f>
        <v>80772</v>
      </c>
    </row>
    <row r="9" spans="1:5" ht="13.5" customHeight="1" x14ac:dyDescent="0.2">
      <c r="A9" s="5" t="s">
        <v>254</v>
      </c>
      <c r="B9" s="7"/>
      <c r="C9" s="7"/>
      <c r="D9" s="7">
        <f t="shared" ref="D9:D10" si="2">B9+C9</f>
        <v>0</v>
      </c>
    </row>
    <row r="10" spans="1:5" ht="13.5" customHeight="1" x14ac:dyDescent="0.2">
      <c r="A10" s="5" t="s">
        <v>103</v>
      </c>
      <c r="B10" s="7">
        <f>14100+252900+15000+14000+5500</f>
        <v>301500</v>
      </c>
      <c r="C10" s="7">
        <f>4000-1384.97+10000-300-3500</f>
        <v>8815.0299999999988</v>
      </c>
      <c r="D10" s="7">
        <f t="shared" si="2"/>
        <v>310315.03000000003</v>
      </c>
    </row>
    <row r="11" spans="1:5" ht="13.5" customHeight="1" x14ac:dyDescent="0.2">
      <c r="A11" s="3" t="s">
        <v>54</v>
      </c>
      <c r="B11" s="7">
        <f t="shared" ref="B11:D11" si="3">B12</f>
        <v>3500</v>
      </c>
      <c r="C11" s="7">
        <f t="shared" si="3"/>
        <v>-1500</v>
      </c>
      <c r="D11" s="7">
        <f t="shared" si="3"/>
        <v>2000</v>
      </c>
    </row>
    <row r="12" spans="1:5" ht="13.5" customHeight="1" x14ac:dyDescent="0.2">
      <c r="A12" s="5" t="s">
        <v>221</v>
      </c>
      <c r="B12" s="7">
        <v>3500</v>
      </c>
      <c r="C12" s="7">
        <v>-1500</v>
      </c>
      <c r="D12" s="7">
        <f>B12+C12</f>
        <v>2000</v>
      </c>
    </row>
    <row r="13" spans="1:5" ht="13.5" customHeight="1" x14ac:dyDescent="0.2">
      <c r="A13" s="3" t="s">
        <v>51</v>
      </c>
      <c r="B13" s="6">
        <f t="shared" ref="B13:C13" si="4">B14</f>
        <v>34000</v>
      </c>
      <c r="C13" s="6">
        <f t="shared" si="4"/>
        <v>0</v>
      </c>
      <c r="D13" s="6">
        <f>D14</f>
        <v>34000</v>
      </c>
    </row>
    <row r="14" spans="1:5" ht="13.5" customHeight="1" x14ac:dyDescent="0.2">
      <c r="A14" s="5" t="s">
        <v>220</v>
      </c>
      <c r="B14" s="7">
        <v>34000</v>
      </c>
      <c r="C14" s="7"/>
      <c r="D14" s="9">
        <f>B14+C14</f>
        <v>34000</v>
      </c>
    </row>
    <row r="15" spans="1:5" ht="13.5" customHeight="1" x14ac:dyDescent="0.2">
      <c r="A15" s="3" t="s">
        <v>25</v>
      </c>
      <c r="B15" s="6">
        <f>B16+B17+B18</f>
        <v>44192</v>
      </c>
      <c r="C15" s="6">
        <f t="shared" ref="C15:D15" si="5">C16+C17+C18</f>
        <v>2000</v>
      </c>
      <c r="D15" s="6">
        <f t="shared" si="5"/>
        <v>46192</v>
      </c>
    </row>
    <row r="16" spans="1:5" ht="13.5" customHeight="1" x14ac:dyDescent="0.2">
      <c r="A16" s="5" t="s">
        <v>105</v>
      </c>
      <c r="B16" s="7">
        <f>5000</f>
        <v>5000</v>
      </c>
      <c r="C16" s="7">
        <f>-3000</f>
        <v>-3000</v>
      </c>
      <c r="D16" s="9">
        <f>B16+C16</f>
        <v>2000</v>
      </c>
    </row>
    <row r="17" spans="1:4" ht="13.5" customHeight="1" x14ac:dyDescent="0.2">
      <c r="A17" s="12" t="s">
        <v>104</v>
      </c>
      <c r="B17" s="7">
        <f>19192</f>
        <v>19192</v>
      </c>
      <c r="C17" s="7">
        <f>4000</f>
        <v>4000</v>
      </c>
      <c r="D17" s="9">
        <f t="shared" ref="D17:D18" si="6">B17+C17</f>
        <v>23192</v>
      </c>
    </row>
    <row r="18" spans="1:4" ht="13.5" customHeight="1" x14ac:dyDescent="0.2">
      <c r="A18" s="5" t="s">
        <v>211</v>
      </c>
      <c r="B18" s="7">
        <f>20000</f>
        <v>20000</v>
      </c>
      <c r="C18" s="7">
        <f>1000</f>
        <v>1000</v>
      </c>
      <c r="D18" s="9">
        <f t="shared" si="6"/>
        <v>21000</v>
      </c>
    </row>
    <row r="19" spans="1:4" ht="13.5" customHeight="1" x14ac:dyDescent="0.2">
      <c r="A19" s="3" t="s">
        <v>52</v>
      </c>
      <c r="B19" s="16">
        <f>B20+B21</f>
        <v>26290</v>
      </c>
      <c r="C19" s="16">
        <f t="shared" ref="C19:D19" si="7">C20+C21</f>
        <v>-2000</v>
      </c>
      <c r="D19" s="16">
        <f t="shared" si="7"/>
        <v>24290</v>
      </c>
    </row>
    <row r="20" spans="1:4" ht="13.5" customHeight="1" x14ac:dyDescent="0.2">
      <c r="A20" s="5" t="s">
        <v>218</v>
      </c>
      <c r="B20" s="16">
        <v>9230</v>
      </c>
      <c r="C20" s="16"/>
      <c r="D20" s="16">
        <f>B20+C20</f>
        <v>9230</v>
      </c>
    </row>
    <row r="21" spans="1:4" ht="13.5" customHeight="1" x14ac:dyDescent="0.2">
      <c r="A21" s="5" t="s">
        <v>215</v>
      </c>
      <c r="B21" s="16">
        <f>3000+14060</f>
        <v>17060</v>
      </c>
      <c r="C21" s="16">
        <f>-2000</f>
        <v>-2000</v>
      </c>
      <c r="D21" s="16">
        <f>B21+C21</f>
        <v>15060</v>
      </c>
    </row>
    <row r="22" spans="1:4" ht="13.5" customHeight="1" x14ac:dyDescent="0.2">
      <c r="A22" s="3" t="s">
        <v>53</v>
      </c>
      <c r="B22" s="16">
        <f>B24+B23+B25+B26</f>
        <v>1120650</v>
      </c>
      <c r="C22" s="16">
        <f t="shared" ref="C22:D22" si="8">C24+C23+C25+C26</f>
        <v>-119100</v>
      </c>
      <c r="D22" s="16">
        <f t="shared" si="8"/>
        <v>1001550</v>
      </c>
    </row>
    <row r="23" spans="1:4" ht="13.5" customHeight="1" x14ac:dyDescent="0.2">
      <c r="A23" s="5" t="s">
        <v>214</v>
      </c>
      <c r="B23" s="16">
        <f>74000+22000+1900+3500+800+40000+75000+35000+20000+160000+130000+315750+7000+25000+14500+8000+30000+104000</f>
        <v>1066450</v>
      </c>
      <c r="C23" s="16">
        <f>-51000-2000-1000+1000-25000-30000+10000-7000-20000+200+3000+5000+2000</f>
        <v>-114800</v>
      </c>
      <c r="D23" s="16">
        <f>B23+C23</f>
        <v>951650</v>
      </c>
    </row>
    <row r="24" spans="1:4" ht="13.5" customHeight="1" x14ac:dyDescent="0.2">
      <c r="A24" s="5" t="s">
        <v>217</v>
      </c>
      <c r="B24" s="16">
        <v>20000</v>
      </c>
      <c r="C24" s="16">
        <f>-5000</f>
        <v>-5000</v>
      </c>
      <c r="D24" s="16">
        <f t="shared" ref="D24:D26" si="9">B24+C24</f>
        <v>15000</v>
      </c>
    </row>
    <row r="25" spans="1:4" ht="13.5" customHeight="1" x14ac:dyDescent="0.2">
      <c r="A25" s="5" t="s">
        <v>216</v>
      </c>
      <c r="B25" s="16">
        <f>18500</f>
        <v>18500</v>
      </c>
      <c r="C25" s="16"/>
      <c r="D25" s="16">
        <f t="shared" si="9"/>
        <v>18500</v>
      </c>
    </row>
    <row r="26" spans="1:4" ht="13.5" customHeight="1" x14ac:dyDescent="0.2">
      <c r="A26" s="5" t="s">
        <v>219</v>
      </c>
      <c r="B26" s="16">
        <v>15700</v>
      </c>
      <c r="C26" s="16">
        <f>700</f>
        <v>700</v>
      </c>
      <c r="D26" s="16">
        <f t="shared" si="9"/>
        <v>16400</v>
      </c>
    </row>
    <row r="27" spans="1:4" ht="13.5" customHeight="1" x14ac:dyDescent="0.2">
      <c r="A27" s="3" t="s">
        <v>55</v>
      </c>
      <c r="B27" s="16">
        <f t="shared" ref="B27:D27" si="10">B28</f>
        <v>11000</v>
      </c>
      <c r="C27" s="16">
        <f t="shared" si="10"/>
        <v>0</v>
      </c>
      <c r="D27" s="16">
        <f t="shared" si="10"/>
        <v>11000</v>
      </c>
    </row>
    <row r="28" spans="1:4" ht="13.5" customHeight="1" x14ac:dyDescent="0.2">
      <c r="A28" s="5" t="s">
        <v>228</v>
      </c>
      <c r="B28" s="16">
        <v>11000</v>
      </c>
      <c r="C28" s="16"/>
      <c r="D28" s="16">
        <f>B28+C28</f>
        <v>11000</v>
      </c>
    </row>
    <row r="29" spans="1:4" ht="13.5" customHeight="1" x14ac:dyDescent="0.2">
      <c r="A29" s="3" t="s">
        <v>56</v>
      </c>
      <c r="B29" s="16">
        <f>B30+B31+B32+B33</f>
        <v>79000</v>
      </c>
      <c r="C29" s="16">
        <f t="shared" ref="C29:D29" si="11">C30+C31+C32+C33</f>
        <v>30000</v>
      </c>
      <c r="D29" s="16">
        <f t="shared" si="11"/>
        <v>109000</v>
      </c>
    </row>
    <row r="30" spans="1:4" ht="13.5" customHeight="1" x14ac:dyDescent="0.2">
      <c r="A30" s="5" t="s">
        <v>222</v>
      </c>
      <c r="B30" s="16">
        <v>57000</v>
      </c>
      <c r="C30" s="16"/>
      <c r="D30" s="16">
        <f>B30+C30</f>
        <v>57000</v>
      </c>
    </row>
    <row r="31" spans="1:4" ht="13.5" customHeight="1" x14ac:dyDescent="0.2">
      <c r="A31" s="5" t="s">
        <v>223</v>
      </c>
      <c r="B31" s="16">
        <v>5000</v>
      </c>
      <c r="C31" s="16"/>
      <c r="D31" s="16">
        <f t="shared" ref="D31:D33" si="12">B31+C31</f>
        <v>5000</v>
      </c>
    </row>
    <row r="32" spans="1:4" ht="13.5" customHeight="1" x14ac:dyDescent="0.2">
      <c r="A32" s="5" t="s">
        <v>224</v>
      </c>
      <c r="B32" s="16">
        <v>5000</v>
      </c>
      <c r="C32" s="16">
        <v>30000</v>
      </c>
      <c r="D32" s="16">
        <f t="shared" si="12"/>
        <v>35000</v>
      </c>
    </row>
    <row r="33" spans="1:4" ht="13.5" customHeight="1" x14ac:dyDescent="0.2">
      <c r="A33" s="5" t="s">
        <v>229</v>
      </c>
      <c r="B33" s="16">
        <v>12000</v>
      </c>
      <c r="C33" s="16"/>
      <c r="D33" s="16">
        <f t="shared" si="12"/>
        <v>12000</v>
      </c>
    </row>
    <row r="34" spans="1:4" ht="13.5" customHeight="1" x14ac:dyDescent="0.2">
      <c r="A34" s="3" t="s">
        <v>57</v>
      </c>
      <c r="B34" s="16">
        <f>B35+B37+B38+B36</f>
        <v>370766</v>
      </c>
      <c r="C34" s="16">
        <f t="shared" ref="C34:D34" si="13">C35+C37+C38+C36</f>
        <v>-2100</v>
      </c>
      <c r="D34" s="16">
        <f t="shared" si="13"/>
        <v>368666</v>
      </c>
    </row>
    <row r="35" spans="1:4" ht="13.5" customHeight="1" x14ac:dyDescent="0.2">
      <c r="A35" s="5" t="s">
        <v>58</v>
      </c>
      <c r="B35" s="16">
        <v>345966</v>
      </c>
      <c r="C35" s="16"/>
      <c r="D35" s="16">
        <f>B35+C35</f>
        <v>345966</v>
      </c>
    </row>
    <row r="36" spans="1:4" ht="13.5" customHeight="1" x14ac:dyDescent="0.2">
      <c r="A36" s="13" t="s">
        <v>59</v>
      </c>
      <c r="B36" s="16">
        <v>11800</v>
      </c>
      <c r="C36" s="16">
        <f>-100</f>
        <v>-100</v>
      </c>
      <c r="D36" s="16">
        <f t="shared" ref="D36:D38" si="14">B36+C36</f>
        <v>11700</v>
      </c>
    </row>
    <row r="37" spans="1:4" ht="13.5" customHeight="1" x14ac:dyDescent="0.2">
      <c r="A37" s="5" t="s">
        <v>60</v>
      </c>
      <c r="B37" s="16">
        <v>3000</v>
      </c>
      <c r="C37" s="16"/>
      <c r="D37" s="16">
        <f t="shared" si="14"/>
        <v>3000</v>
      </c>
    </row>
    <row r="38" spans="1:4" ht="13.5" customHeight="1" x14ac:dyDescent="0.2">
      <c r="A38" s="5" t="s">
        <v>61</v>
      </c>
      <c r="B38" s="16">
        <v>10000</v>
      </c>
      <c r="C38" s="16">
        <f>-2000</f>
        <v>-2000</v>
      </c>
      <c r="D38" s="16">
        <f t="shared" si="14"/>
        <v>8000</v>
      </c>
    </row>
    <row r="39" spans="1:4" ht="13.5" customHeight="1" x14ac:dyDescent="0.2">
      <c r="A39" s="3" t="s">
        <v>62</v>
      </c>
      <c r="B39" s="16">
        <f>B40+B41+B42+B43+B44</f>
        <v>172076</v>
      </c>
      <c r="C39" s="16">
        <f t="shared" ref="C39:D39" si="15">C40+C41+C42+C43+C44</f>
        <v>17600</v>
      </c>
      <c r="D39" s="16">
        <f t="shared" si="15"/>
        <v>189676</v>
      </c>
    </row>
    <row r="40" spans="1:4" ht="13.5" customHeight="1" x14ac:dyDescent="0.2">
      <c r="A40" s="5" t="s">
        <v>226</v>
      </c>
      <c r="B40" s="16">
        <v>106185</v>
      </c>
      <c r="C40" s="16"/>
      <c r="D40" s="16">
        <f>B40+C40</f>
        <v>106185</v>
      </c>
    </row>
    <row r="41" spans="1:4" ht="13.5" customHeight="1" x14ac:dyDescent="0.2">
      <c r="A41" s="5" t="s">
        <v>225</v>
      </c>
      <c r="B41" s="16">
        <f>54890+2000</f>
        <v>56890</v>
      </c>
      <c r="C41" s="16">
        <f>17100+500</f>
        <v>17600</v>
      </c>
      <c r="D41" s="16">
        <f t="shared" ref="D41:D43" si="16">B41+C41</f>
        <v>74490</v>
      </c>
    </row>
    <row r="42" spans="1:4" ht="13.5" customHeight="1" x14ac:dyDescent="0.2">
      <c r="A42" s="5" t="s">
        <v>212</v>
      </c>
      <c r="B42" s="16">
        <f>6901</f>
        <v>6901</v>
      </c>
      <c r="C42" s="16"/>
      <c r="D42" s="16">
        <f t="shared" si="16"/>
        <v>6901</v>
      </c>
    </row>
    <row r="43" spans="1:4" ht="13.5" customHeight="1" x14ac:dyDescent="0.2">
      <c r="A43" s="14" t="s">
        <v>227</v>
      </c>
      <c r="B43" s="16">
        <v>2100</v>
      </c>
      <c r="C43" s="16"/>
      <c r="D43" s="16">
        <f t="shared" si="16"/>
        <v>2100</v>
      </c>
    </row>
    <row r="44" spans="1:4" ht="13.5" customHeight="1" x14ac:dyDescent="0.2">
      <c r="A44" s="14" t="s">
        <v>255</v>
      </c>
      <c r="B44" s="16"/>
      <c r="C44" s="16"/>
      <c r="D44" s="16"/>
    </row>
    <row r="45" spans="1:4" ht="13.5" customHeight="1" x14ac:dyDescent="0.2">
      <c r="B45" s="15"/>
      <c r="C45" s="34"/>
      <c r="D45" s="34"/>
    </row>
  </sheetData>
  <mergeCells count="2">
    <mergeCell ref="A1:E1"/>
    <mergeCell ref="A3:E3"/>
  </mergeCells>
  <pageMargins left="0.51181102362204722" right="0.31496062992125984" top="0.15748031496062992" bottom="0.15748031496062992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3"/>
  <sheetViews>
    <sheetView topLeftCell="A19" workbookViewId="0">
      <selection activeCell="M30" sqref="M30"/>
    </sheetView>
  </sheetViews>
  <sheetFormatPr defaultRowHeight="12.75" customHeight="1" x14ac:dyDescent="0.2"/>
  <cols>
    <col min="1" max="1" width="6.85546875" style="2" customWidth="1"/>
    <col min="2" max="2" width="7.7109375" style="2" customWidth="1"/>
    <col min="3" max="3" width="5" style="2" customWidth="1"/>
    <col min="4" max="4" width="51" style="2" customWidth="1"/>
    <col min="5" max="7" width="17.28515625" style="2" customWidth="1"/>
    <col min="8" max="16384" width="9.140625" style="2"/>
  </cols>
  <sheetData>
    <row r="1" spans="1:8" ht="12.75" customHeight="1" x14ac:dyDescent="0.2">
      <c r="A1" s="200" t="s">
        <v>165</v>
      </c>
      <c r="B1" s="200"/>
      <c r="C1" s="200"/>
      <c r="D1" s="200"/>
      <c r="E1" s="200"/>
      <c r="F1" s="200"/>
      <c r="G1" s="200"/>
      <c r="H1" s="200"/>
    </row>
    <row r="2" spans="1:8" ht="12.75" customHeight="1" x14ac:dyDescent="0.2">
      <c r="A2" s="11"/>
      <c r="B2" s="11"/>
      <c r="C2" s="11"/>
      <c r="D2" s="11"/>
      <c r="E2" s="11"/>
      <c r="F2" s="11"/>
      <c r="G2" s="11"/>
    </row>
    <row r="3" spans="1:8" ht="12.75" customHeight="1" x14ac:dyDescent="0.2">
      <c r="A3" s="2" t="s">
        <v>293</v>
      </c>
      <c r="E3" s="18"/>
      <c r="F3" s="18"/>
      <c r="G3" s="18"/>
    </row>
    <row r="4" spans="1:8" ht="12.75" customHeight="1" x14ac:dyDescent="0.2">
      <c r="A4" s="11"/>
      <c r="B4" s="11"/>
      <c r="C4" s="11"/>
      <c r="D4" s="11"/>
      <c r="E4" s="11"/>
      <c r="F4" s="11"/>
      <c r="G4" s="11"/>
    </row>
    <row r="5" spans="1:8" ht="12.75" customHeight="1" x14ac:dyDescent="0.2">
      <c r="A5" s="200" t="s">
        <v>29</v>
      </c>
      <c r="B5" s="200"/>
      <c r="C5" s="200"/>
      <c r="D5" s="200"/>
      <c r="E5" s="200"/>
      <c r="F5" s="200"/>
      <c r="G5" s="200"/>
      <c r="H5" s="200"/>
    </row>
    <row r="6" spans="1:8" ht="12.75" customHeight="1" x14ac:dyDescent="0.2">
      <c r="A6" s="11"/>
      <c r="B6" s="11"/>
      <c r="C6" s="11"/>
      <c r="D6" s="11"/>
      <c r="E6" s="11"/>
      <c r="F6" s="20"/>
      <c r="G6" s="20"/>
    </row>
    <row r="7" spans="1:8" ht="12.75" customHeight="1" x14ac:dyDescent="0.2">
      <c r="A7" s="200" t="s">
        <v>100</v>
      </c>
      <c r="B7" s="200"/>
      <c r="C7" s="200"/>
      <c r="D7" s="200"/>
      <c r="E7" s="200"/>
      <c r="F7" s="200"/>
      <c r="G7" s="200"/>
      <c r="H7" s="200"/>
    </row>
    <row r="8" spans="1:8" ht="12.75" customHeight="1" x14ac:dyDescent="0.2">
      <c r="A8" s="11"/>
      <c r="B8" s="11"/>
      <c r="C8" s="11"/>
      <c r="D8" s="11"/>
      <c r="E8" s="11"/>
      <c r="F8" s="20"/>
      <c r="G8" s="20"/>
    </row>
    <row r="9" spans="1:8" ht="24" customHeight="1" x14ac:dyDescent="0.2">
      <c r="A9" s="64" t="s">
        <v>11</v>
      </c>
      <c r="B9" s="65" t="s">
        <v>12</v>
      </c>
      <c r="C9" s="65" t="s">
        <v>13</v>
      </c>
      <c r="D9" s="65" t="s">
        <v>41</v>
      </c>
      <c r="E9" s="64" t="s">
        <v>231</v>
      </c>
      <c r="F9" s="64" t="s">
        <v>297</v>
      </c>
      <c r="G9" s="64" t="s">
        <v>298</v>
      </c>
    </row>
    <row r="10" spans="1:8" ht="12.75" customHeight="1" x14ac:dyDescent="0.2">
      <c r="A10" s="68">
        <v>8</v>
      </c>
      <c r="B10" s="68"/>
      <c r="C10" s="68"/>
      <c r="D10" s="68" t="s">
        <v>26</v>
      </c>
      <c r="E10" s="6">
        <v>0</v>
      </c>
      <c r="F10" s="6">
        <v>0</v>
      </c>
      <c r="G10" s="6">
        <v>0</v>
      </c>
    </row>
    <row r="11" spans="1:8" ht="12.75" customHeight="1" x14ac:dyDescent="0.2">
      <c r="A11" s="68"/>
      <c r="B11" s="69">
        <v>84</v>
      </c>
      <c r="C11" s="69"/>
      <c r="D11" s="69" t="s">
        <v>33</v>
      </c>
      <c r="E11" s="89"/>
      <c r="F11" s="89"/>
      <c r="G11" s="89"/>
    </row>
    <row r="12" spans="1:8" ht="12.75" customHeight="1" x14ac:dyDescent="0.2">
      <c r="A12" s="71"/>
      <c r="B12" s="71"/>
      <c r="C12" s="73">
        <v>81</v>
      </c>
      <c r="D12" s="72" t="s">
        <v>34</v>
      </c>
      <c r="E12" s="89"/>
      <c r="F12" s="89"/>
      <c r="G12" s="89"/>
    </row>
    <row r="13" spans="1:8" ht="12.75" customHeight="1" x14ac:dyDescent="0.2">
      <c r="A13" s="76">
        <v>5</v>
      </c>
      <c r="B13" s="76"/>
      <c r="C13" s="76"/>
      <c r="D13" s="77" t="s">
        <v>27</v>
      </c>
      <c r="E13" s="6">
        <v>0</v>
      </c>
      <c r="F13" s="6">
        <v>0</v>
      </c>
      <c r="G13" s="6">
        <v>0</v>
      </c>
    </row>
    <row r="14" spans="1:8" ht="12.75" customHeight="1" x14ac:dyDescent="0.2">
      <c r="A14" s="69"/>
      <c r="B14" s="69">
        <v>54</v>
      </c>
      <c r="C14" s="69"/>
      <c r="D14" s="102" t="s">
        <v>35</v>
      </c>
      <c r="E14" s="89"/>
      <c r="F14" s="89"/>
      <c r="G14" s="103"/>
    </row>
    <row r="15" spans="1:8" ht="12.75" customHeight="1" x14ac:dyDescent="0.2">
      <c r="A15" s="69"/>
      <c r="B15" s="69"/>
      <c r="C15" s="104" t="s">
        <v>86</v>
      </c>
      <c r="D15" s="81" t="s">
        <v>16</v>
      </c>
      <c r="E15" s="89"/>
      <c r="F15" s="89"/>
      <c r="G15" s="103"/>
    </row>
    <row r="16" spans="1:8" ht="12.75" customHeight="1" x14ac:dyDescent="0.2">
      <c r="A16" s="69"/>
      <c r="B16" s="69"/>
      <c r="C16" s="73">
        <v>31</v>
      </c>
      <c r="D16" s="73" t="s">
        <v>36</v>
      </c>
      <c r="E16" s="89"/>
      <c r="F16" s="89"/>
      <c r="G16" s="103"/>
    </row>
    <row r="18" spans="1:8" ht="12.75" customHeight="1" x14ac:dyDescent="0.2">
      <c r="A18" s="200" t="s">
        <v>256</v>
      </c>
      <c r="B18" s="200"/>
      <c r="C18" s="200"/>
      <c r="D18" s="200"/>
      <c r="E18" s="200"/>
      <c r="F18" s="200"/>
      <c r="G18" s="200"/>
      <c r="H18" s="200"/>
    </row>
    <row r="20" spans="1:8" ht="12.75" customHeight="1" x14ac:dyDescent="0.2">
      <c r="A20" s="212" t="s">
        <v>294</v>
      </c>
      <c r="B20" s="212"/>
      <c r="C20" s="212"/>
      <c r="D20" s="212"/>
      <c r="E20" s="212"/>
      <c r="F20" s="212"/>
      <c r="G20" s="212"/>
      <c r="H20" s="212"/>
    </row>
    <row r="22" spans="1:8" ht="12.75" customHeight="1" x14ac:dyDescent="0.2">
      <c r="A22" s="200" t="s">
        <v>101</v>
      </c>
      <c r="B22" s="201"/>
      <c r="C22" s="201"/>
      <c r="D22" s="201"/>
      <c r="E22" s="201"/>
      <c r="F22" s="201"/>
      <c r="G22" s="201"/>
    </row>
    <row r="23" spans="1:8" ht="12.75" customHeight="1" x14ac:dyDescent="0.2">
      <c r="A23" s="11"/>
      <c r="B23" s="11"/>
      <c r="C23" s="11"/>
      <c r="D23" s="11"/>
      <c r="E23" s="11"/>
      <c r="F23" s="20"/>
      <c r="G23" s="20"/>
    </row>
    <row r="24" spans="1:8" ht="24" customHeight="1" x14ac:dyDescent="0.2">
      <c r="A24" s="64" t="s">
        <v>11</v>
      </c>
      <c r="B24" s="65" t="s">
        <v>12</v>
      </c>
      <c r="C24" s="65" t="s">
        <v>13</v>
      </c>
      <c r="D24" s="65" t="s">
        <v>41</v>
      </c>
      <c r="E24" s="64" t="s">
        <v>231</v>
      </c>
      <c r="F24" s="64" t="s">
        <v>297</v>
      </c>
      <c r="G24" s="64" t="s">
        <v>298</v>
      </c>
    </row>
    <row r="25" spans="1:8" ht="12.75" customHeight="1" x14ac:dyDescent="0.2">
      <c r="A25" s="68">
        <v>8</v>
      </c>
      <c r="B25" s="68"/>
      <c r="C25" s="68"/>
      <c r="D25" s="68" t="s">
        <v>26</v>
      </c>
      <c r="E25" s="6">
        <v>0</v>
      </c>
      <c r="F25" s="6">
        <v>0</v>
      </c>
      <c r="G25" s="6">
        <v>0</v>
      </c>
    </row>
    <row r="26" spans="1:8" ht="12.75" customHeight="1" x14ac:dyDescent="0.2">
      <c r="A26" s="68"/>
      <c r="B26" s="69">
        <v>84</v>
      </c>
      <c r="C26" s="69"/>
      <c r="D26" s="69" t="s">
        <v>33</v>
      </c>
      <c r="E26" s="89"/>
      <c r="F26" s="89"/>
      <c r="G26" s="89"/>
    </row>
    <row r="27" spans="1:8" ht="12.75" customHeight="1" x14ac:dyDescent="0.2">
      <c r="A27" s="71"/>
      <c r="B27" s="71"/>
      <c r="C27" s="73">
        <v>81</v>
      </c>
      <c r="D27" s="72" t="s">
        <v>34</v>
      </c>
      <c r="E27" s="89"/>
      <c r="F27" s="89"/>
      <c r="G27" s="89"/>
    </row>
    <row r="28" spans="1:8" ht="12.75" customHeight="1" x14ac:dyDescent="0.2">
      <c r="A28" s="76">
        <v>5</v>
      </c>
      <c r="B28" s="76"/>
      <c r="C28" s="76"/>
      <c r="D28" s="77" t="s">
        <v>27</v>
      </c>
      <c r="E28" s="6">
        <v>0</v>
      </c>
      <c r="F28" s="6">
        <v>0</v>
      </c>
      <c r="G28" s="6">
        <v>0</v>
      </c>
    </row>
    <row r="29" spans="1:8" ht="12.75" customHeight="1" x14ac:dyDescent="0.2">
      <c r="A29" s="69"/>
      <c r="B29" s="69">
        <v>54</v>
      </c>
      <c r="C29" s="69"/>
      <c r="D29" s="102" t="s">
        <v>35</v>
      </c>
      <c r="E29" s="89"/>
      <c r="F29" s="89"/>
      <c r="G29" s="103"/>
    </row>
    <row r="30" spans="1:8" ht="12.75" customHeight="1" x14ac:dyDescent="0.2">
      <c r="A30" s="69"/>
      <c r="B30" s="69"/>
      <c r="C30" s="104" t="s">
        <v>86</v>
      </c>
      <c r="D30" s="81" t="s">
        <v>16</v>
      </c>
      <c r="E30" s="89"/>
      <c r="F30" s="89"/>
      <c r="G30" s="103"/>
    </row>
    <row r="31" spans="1:8" ht="12.75" customHeight="1" x14ac:dyDescent="0.2">
      <c r="A31" s="69"/>
      <c r="B31" s="69"/>
      <c r="C31" s="73">
        <v>31</v>
      </c>
      <c r="D31" s="73" t="s">
        <v>36</v>
      </c>
      <c r="E31" s="89"/>
      <c r="F31" s="89"/>
      <c r="G31" s="103"/>
    </row>
    <row r="33" spans="1:12" ht="12.75" customHeight="1" x14ac:dyDescent="0.2">
      <c r="A33" s="200" t="s">
        <v>257</v>
      </c>
      <c r="B33" s="200"/>
      <c r="C33" s="200"/>
      <c r="D33" s="200"/>
      <c r="E33" s="200"/>
      <c r="F33" s="200"/>
      <c r="G33" s="200"/>
      <c r="H33" s="200"/>
      <c r="I33" s="185"/>
      <c r="J33" s="185"/>
      <c r="K33" s="185"/>
      <c r="L33" s="185"/>
    </row>
    <row r="34" spans="1:12" ht="12.7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ht="12.75" customHeight="1" x14ac:dyDescent="0.2">
      <c r="A35" s="52" t="s">
        <v>295</v>
      </c>
      <c r="B35" s="52"/>
      <c r="C35" s="52"/>
      <c r="D35" s="52"/>
      <c r="E35" s="52"/>
      <c r="F35" s="52"/>
      <c r="G35" s="52"/>
      <c r="H35" s="52"/>
      <c r="I35" s="21"/>
      <c r="J35" s="21"/>
    </row>
    <row r="36" spans="1:12" ht="12.75" customHeight="1" x14ac:dyDescent="0.2">
      <c r="A36" s="52"/>
      <c r="B36" s="52"/>
      <c r="C36" s="52"/>
      <c r="D36" s="52"/>
      <c r="E36" s="52"/>
      <c r="F36" s="52"/>
      <c r="G36" s="21"/>
      <c r="H36" s="21"/>
      <c r="I36" s="21"/>
      <c r="J36" s="21"/>
    </row>
    <row r="37" spans="1:12" ht="12.75" customHeight="1" x14ac:dyDescent="0.2">
      <c r="A37" s="200" t="s">
        <v>29</v>
      </c>
      <c r="B37" s="200"/>
      <c r="C37" s="200"/>
      <c r="D37" s="200"/>
      <c r="E37" s="200"/>
      <c r="F37" s="200"/>
      <c r="G37" s="200"/>
      <c r="H37" s="200"/>
      <c r="I37" s="185"/>
      <c r="J37" s="185"/>
      <c r="K37" s="185"/>
      <c r="L37" s="185"/>
    </row>
    <row r="38" spans="1:12" ht="12.75" customHeight="1" x14ac:dyDescent="0.2">
      <c r="B38" s="11"/>
      <c r="C38" s="11"/>
      <c r="D38" s="11"/>
      <c r="E38" s="11"/>
      <c r="F38" s="11"/>
      <c r="G38" s="11"/>
      <c r="H38" s="11"/>
      <c r="I38" s="20"/>
      <c r="J38" s="20"/>
    </row>
    <row r="39" spans="1:12" ht="12.75" customHeight="1" x14ac:dyDescent="0.2">
      <c r="A39" s="200" t="s">
        <v>160</v>
      </c>
      <c r="B39" s="200"/>
      <c r="C39" s="200"/>
      <c r="D39" s="200"/>
      <c r="E39" s="200"/>
      <c r="F39" s="200"/>
      <c r="G39" s="200"/>
      <c r="H39" s="200"/>
      <c r="I39" s="185"/>
      <c r="J39" s="185"/>
      <c r="K39" s="185"/>
      <c r="L39" s="185"/>
    </row>
    <row r="40" spans="1:12" ht="12.75" customHeight="1" x14ac:dyDescent="0.2">
      <c r="B40" s="11"/>
      <c r="C40" s="21"/>
      <c r="D40" s="21"/>
      <c r="E40" s="21"/>
      <c r="F40" s="21"/>
      <c r="G40" s="21"/>
      <c r="H40" s="21"/>
      <c r="I40" s="21"/>
      <c r="J40" s="21"/>
    </row>
    <row r="41" spans="1:12" ht="24" customHeight="1" x14ac:dyDescent="0.2">
      <c r="A41" s="84"/>
      <c r="B41" s="229" t="s">
        <v>305</v>
      </c>
      <c r="C41" s="229"/>
      <c r="D41" s="229"/>
      <c r="E41" s="189" t="s">
        <v>231</v>
      </c>
      <c r="F41" s="189" t="s">
        <v>297</v>
      </c>
      <c r="G41" s="189" t="s">
        <v>298</v>
      </c>
    </row>
    <row r="42" spans="1:12" ht="12.75" customHeight="1" x14ac:dyDescent="0.2">
      <c r="A42" s="84">
        <v>9</v>
      </c>
      <c r="B42" s="228" t="s">
        <v>161</v>
      </c>
      <c r="C42" s="228"/>
      <c r="D42" s="228"/>
      <c r="E42" s="16">
        <f>E43</f>
        <v>200000</v>
      </c>
      <c r="F42" s="16">
        <f t="shared" ref="F42:G42" si="0">F43</f>
        <v>-120514.97</v>
      </c>
      <c r="G42" s="16">
        <f t="shared" si="0"/>
        <v>79485.03</v>
      </c>
    </row>
    <row r="43" spans="1:12" ht="12.75" customHeight="1" x14ac:dyDescent="0.2">
      <c r="A43" s="84">
        <v>92</v>
      </c>
      <c r="B43" s="228" t="s">
        <v>162</v>
      </c>
      <c r="C43" s="228"/>
      <c r="D43" s="228"/>
      <c r="E43" s="16">
        <v>200000</v>
      </c>
      <c r="F43" s="16">
        <v>-120514.97</v>
      </c>
      <c r="G43" s="16">
        <f>E43+F43</f>
        <v>79485.03</v>
      </c>
    </row>
  </sheetData>
  <mergeCells count="12">
    <mergeCell ref="A22:G22"/>
    <mergeCell ref="A1:H1"/>
    <mergeCell ref="A5:H5"/>
    <mergeCell ref="A7:H7"/>
    <mergeCell ref="A18:H18"/>
    <mergeCell ref="A20:H20"/>
    <mergeCell ref="B43:D43"/>
    <mergeCell ref="A33:H33"/>
    <mergeCell ref="A37:H37"/>
    <mergeCell ref="A39:H39"/>
    <mergeCell ref="B41:D41"/>
    <mergeCell ref="B42:D42"/>
  </mergeCells>
  <pageMargins left="0.70866141732283472" right="0.51181102362204722" top="0.15748031496062992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1"/>
  <sheetViews>
    <sheetView tabSelected="1" topLeftCell="A403" zoomScale="120" zoomScaleNormal="120" workbookViewId="0">
      <selection activeCell="M425" sqref="M425"/>
    </sheetView>
  </sheetViews>
  <sheetFormatPr defaultRowHeight="12" x14ac:dyDescent="0.2"/>
  <cols>
    <col min="1" max="1" width="3.7109375" style="2" customWidth="1"/>
    <col min="2" max="2" width="8.42578125" style="2" customWidth="1"/>
    <col min="3" max="3" width="8.7109375" style="2" customWidth="1"/>
    <col min="4" max="4" width="30" style="2" customWidth="1"/>
    <col min="5" max="5" width="17" style="2" customWidth="1"/>
    <col min="6" max="7" width="15.140625" style="2" customWidth="1"/>
    <col min="8" max="16384" width="9.140625" style="2"/>
  </cols>
  <sheetData>
    <row r="1" spans="1:7" ht="18" customHeight="1" x14ac:dyDescent="0.2">
      <c r="A1" s="200" t="s">
        <v>28</v>
      </c>
      <c r="B1" s="201"/>
      <c r="C1" s="201"/>
      <c r="D1" s="201"/>
      <c r="E1" s="201"/>
      <c r="F1" s="201"/>
      <c r="G1" s="201"/>
    </row>
    <row r="2" spans="1:7" ht="18" customHeight="1" x14ac:dyDescent="0.2">
      <c r="A2" s="11"/>
      <c r="B2" s="21"/>
      <c r="C2" s="21"/>
      <c r="D2" s="21"/>
      <c r="E2" s="21"/>
      <c r="F2" s="21"/>
      <c r="G2" s="21"/>
    </row>
    <row r="3" spans="1:7" ht="18" customHeight="1" x14ac:dyDescent="0.2">
      <c r="A3" s="200" t="s">
        <v>258</v>
      </c>
      <c r="B3" s="200"/>
      <c r="C3" s="200"/>
      <c r="D3" s="200"/>
      <c r="E3" s="200"/>
      <c r="F3" s="200"/>
      <c r="G3" s="200"/>
    </row>
    <row r="4" spans="1:7" ht="18" customHeight="1" x14ac:dyDescent="0.2">
      <c r="A4" s="316" t="s">
        <v>316</v>
      </c>
      <c r="B4" s="316"/>
      <c r="C4" s="316"/>
      <c r="D4" s="316"/>
      <c r="E4" s="316"/>
      <c r="F4" s="316"/>
      <c r="G4" s="316"/>
    </row>
    <row r="5" spans="1:7" ht="18" customHeight="1" x14ac:dyDescent="0.2">
      <c r="A5" s="315" t="s">
        <v>302</v>
      </c>
      <c r="B5" s="315"/>
      <c r="C5" s="315"/>
      <c r="D5" s="315"/>
      <c r="E5" s="315"/>
      <c r="F5" s="315"/>
      <c r="G5" s="315"/>
    </row>
    <row r="6" spans="1:7" ht="18" customHeight="1" x14ac:dyDescent="0.2">
      <c r="B6" s="21"/>
      <c r="C6" s="21"/>
      <c r="D6" s="21"/>
      <c r="E6" s="21"/>
      <c r="F6" s="320"/>
      <c r="G6" s="320"/>
    </row>
    <row r="7" spans="1:7" x14ac:dyDescent="0.2">
      <c r="A7" s="11"/>
      <c r="B7" s="11"/>
      <c r="C7" s="11"/>
      <c r="D7" s="11"/>
      <c r="E7" s="11"/>
      <c r="F7" s="20"/>
      <c r="G7" s="20"/>
    </row>
    <row r="8" spans="1:7" ht="36" x14ac:dyDescent="0.2">
      <c r="A8" s="308" t="s">
        <v>30</v>
      </c>
      <c r="B8" s="309"/>
      <c r="C8" s="310"/>
      <c r="D8" s="65" t="s">
        <v>31</v>
      </c>
      <c r="E8" s="64" t="s">
        <v>231</v>
      </c>
      <c r="F8" s="64" t="s">
        <v>297</v>
      </c>
      <c r="G8" s="64" t="s">
        <v>303</v>
      </c>
    </row>
    <row r="9" spans="1:7" ht="19.5" customHeight="1" x14ac:dyDescent="0.2">
      <c r="A9" s="317" t="s">
        <v>85</v>
      </c>
      <c r="B9" s="318"/>
      <c r="C9" s="318"/>
      <c r="D9" s="319"/>
      <c r="E9" s="67">
        <f>E10+E45</f>
        <v>2244186</v>
      </c>
      <c r="F9" s="67">
        <f t="shared" ref="F9:G9" si="0">F10+F45</f>
        <v>-66724.97</v>
      </c>
      <c r="G9" s="67">
        <f t="shared" si="0"/>
        <v>2177461.0300000003</v>
      </c>
    </row>
    <row r="10" spans="1:7" ht="15.75" customHeight="1" x14ac:dyDescent="0.2">
      <c r="A10" s="311" t="s">
        <v>63</v>
      </c>
      <c r="B10" s="311"/>
      <c r="C10" s="311"/>
      <c r="D10" s="311"/>
      <c r="E10" s="105">
        <f>E11</f>
        <v>95312</v>
      </c>
      <c r="F10" s="105">
        <f t="shared" ref="F10:G10" si="1">F11</f>
        <v>3560</v>
      </c>
      <c r="G10" s="105">
        <f t="shared" si="1"/>
        <v>98872</v>
      </c>
    </row>
    <row r="11" spans="1:7" ht="15.75" customHeight="1" x14ac:dyDescent="0.2">
      <c r="A11" s="312" t="s">
        <v>64</v>
      </c>
      <c r="B11" s="313"/>
      <c r="C11" s="313"/>
      <c r="D11" s="314"/>
      <c r="E11" s="106">
        <f>E14+E39</f>
        <v>95312</v>
      </c>
      <c r="F11" s="106">
        <f>F14+F39</f>
        <v>3560</v>
      </c>
      <c r="G11" s="106">
        <f t="shared" ref="G11" si="2">G14+G39</f>
        <v>98872</v>
      </c>
    </row>
    <row r="12" spans="1:7" ht="15.75" customHeight="1" x14ac:dyDescent="0.2">
      <c r="A12" s="87" t="s">
        <v>287</v>
      </c>
      <c r="B12" s="107"/>
      <c r="C12" s="107"/>
      <c r="D12" s="108"/>
      <c r="E12" s="109">
        <f>E17+E24+E35+E42</f>
        <v>81312</v>
      </c>
      <c r="F12" s="109">
        <f>F17+F24+F35</f>
        <v>1470</v>
      </c>
      <c r="G12" s="109">
        <f>E12+F12</f>
        <v>82782</v>
      </c>
    </row>
    <row r="13" spans="1:7" ht="15.75" customHeight="1" x14ac:dyDescent="0.2">
      <c r="A13" s="87" t="s">
        <v>288</v>
      </c>
      <c r="B13" s="107"/>
      <c r="C13" s="107"/>
      <c r="D13" s="108"/>
      <c r="E13" s="109">
        <f>E30+E36</f>
        <v>14000</v>
      </c>
      <c r="F13" s="109">
        <f>F30+F36</f>
        <v>2090</v>
      </c>
      <c r="G13" s="109">
        <f>E13+F13</f>
        <v>16090</v>
      </c>
    </row>
    <row r="14" spans="1:7" ht="15" customHeight="1" x14ac:dyDescent="0.2">
      <c r="A14" s="110" t="s">
        <v>106</v>
      </c>
      <c r="B14" s="110"/>
      <c r="C14" s="110"/>
      <c r="D14" s="110"/>
      <c r="E14" s="111">
        <f>E15+E22+E28+E33</f>
        <v>81212</v>
      </c>
      <c r="F14" s="111">
        <f t="shared" ref="F14:G14" si="3">F15+F22+F28+F33</f>
        <v>-440</v>
      </c>
      <c r="G14" s="111">
        <f t="shared" si="3"/>
        <v>80772</v>
      </c>
    </row>
    <row r="15" spans="1:7" ht="12.75" customHeight="1" x14ac:dyDescent="0.2">
      <c r="A15" s="259" t="s">
        <v>271</v>
      </c>
      <c r="B15" s="260"/>
      <c r="C15" s="260"/>
      <c r="D15" s="261"/>
      <c r="E15" s="112">
        <f t="shared" ref="E15:G15" si="4">E18</f>
        <v>49252</v>
      </c>
      <c r="F15" s="112">
        <f t="shared" si="4"/>
        <v>0</v>
      </c>
      <c r="G15" s="112">
        <f t="shared" si="4"/>
        <v>49252</v>
      </c>
    </row>
    <row r="16" spans="1:7" ht="15" customHeight="1" x14ac:dyDescent="0.2">
      <c r="A16" s="113" t="s">
        <v>108</v>
      </c>
      <c r="B16" s="114"/>
      <c r="C16" s="114"/>
      <c r="D16" s="115"/>
      <c r="E16" s="116"/>
      <c r="F16" s="116"/>
      <c r="G16" s="116"/>
    </row>
    <row r="17" spans="1:7" ht="15" customHeight="1" x14ac:dyDescent="0.2">
      <c r="A17" s="231" t="s">
        <v>276</v>
      </c>
      <c r="B17" s="232"/>
      <c r="C17" s="232"/>
      <c r="D17" s="232"/>
      <c r="E17" s="117">
        <v>49252</v>
      </c>
      <c r="F17" s="117"/>
      <c r="G17" s="117">
        <v>49252</v>
      </c>
    </row>
    <row r="18" spans="1:7" x14ac:dyDescent="0.2">
      <c r="A18" s="248">
        <v>3</v>
      </c>
      <c r="B18" s="249"/>
      <c r="C18" s="250"/>
      <c r="D18" s="119" t="s">
        <v>18</v>
      </c>
      <c r="E18" s="6">
        <f t="shared" ref="E18:G18" si="5">E19+E20+E21</f>
        <v>49252</v>
      </c>
      <c r="F18" s="6"/>
      <c r="G18" s="6">
        <f t="shared" si="5"/>
        <v>49252</v>
      </c>
    </row>
    <row r="19" spans="1:7" x14ac:dyDescent="0.2">
      <c r="A19" s="251">
        <v>31</v>
      </c>
      <c r="B19" s="252"/>
      <c r="C19" s="253"/>
      <c r="D19" s="119" t="s">
        <v>21</v>
      </c>
      <c r="E19" s="89">
        <v>46252</v>
      </c>
      <c r="F19" s="89"/>
      <c r="G19" s="103">
        <f>E19+F19</f>
        <v>46252</v>
      </c>
    </row>
    <row r="20" spans="1:7" x14ac:dyDescent="0.2">
      <c r="A20" s="294">
        <v>32</v>
      </c>
      <c r="B20" s="295"/>
      <c r="C20" s="296"/>
      <c r="D20" s="119" t="s">
        <v>32</v>
      </c>
      <c r="E20" s="89">
        <v>2000</v>
      </c>
      <c r="F20" s="89"/>
      <c r="G20" s="103">
        <f t="shared" ref="G20:G21" si="6">E20+F20</f>
        <v>2000</v>
      </c>
    </row>
    <row r="21" spans="1:7" x14ac:dyDescent="0.2">
      <c r="A21" s="294">
        <v>38</v>
      </c>
      <c r="B21" s="295"/>
      <c r="C21" s="296"/>
      <c r="D21" s="119" t="s">
        <v>49</v>
      </c>
      <c r="E21" s="89">
        <v>1000</v>
      </c>
      <c r="F21" s="89"/>
      <c r="G21" s="103">
        <f t="shared" si="6"/>
        <v>1000</v>
      </c>
    </row>
    <row r="22" spans="1:7" ht="24.75" customHeight="1" x14ac:dyDescent="0.2">
      <c r="A22" s="254" t="s">
        <v>168</v>
      </c>
      <c r="B22" s="255"/>
      <c r="C22" s="255"/>
      <c r="D22" s="256"/>
      <c r="E22" s="112">
        <f>E25</f>
        <v>7960</v>
      </c>
      <c r="F22" s="112">
        <f t="shared" ref="F22:G22" si="7">F25</f>
        <v>-1240</v>
      </c>
      <c r="G22" s="112">
        <f t="shared" si="7"/>
        <v>6720</v>
      </c>
    </row>
    <row r="23" spans="1:7" ht="15" customHeight="1" x14ac:dyDescent="0.2">
      <c r="A23" s="113" t="s">
        <v>108</v>
      </c>
      <c r="B23" s="114"/>
      <c r="C23" s="114"/>
      <c r="D23" s="115"/>
      <c r="E23" s="116"/>
      <c r="F23" s="116"/>
      <c r="G23" s="116"/>
    </row>
    <row r="24" spans="1:7" x14ac:dyDescent="0.2">
      <c r="A24" s="231" t="s">
        <v>286</v>
      </c>
      <c r="B24" s="232"/>
      <c r="C24" s="232"/>
      <c r="D24" s="232"/>
      <c r="E24" s="123">
        <v>7960</v>
      </c>
      <c r="F24" s="123">
        <f>F25</f>
        <v>-1240</v>
      </c>
      <c r="G24" s="123">
        <f>E24+F24</f>
        <v>6720</v>
      </c>
    </row>
    <row r="25" spans="1:7" x14ac:dyDescent="0.2">
      <c r="A25" s="248">
        <v>3</v>
      </c>
      <c r="B25" s="249"/>
      <c r="C25" s="250"/>
      <c r="D25" s="119" t="s">
        <v>18</v>
      </c>
      <c r="E25" s="6">
        <f t="shared" ref="E25:G25" si="8">E26+E27</f>
        <v>7960</v>
      </c>
      <c r="F25" s="6">
        <f t="shared" si="8"/>
        <v>-1240</v>
      </c>
      <c r="G25" s="6">
        <f t="shared" si="8"/>
        <v>6720</v>
      </c>
    </row>
    <row r="26" spans="1:7" x14ac:dyDescent="0.2">
      <c r="A26" s="294">
        <v>32</v>
      </c>
      <c r="B26" s="295"/>
      <c r="C26" s="296"/>
      <c r="D26" s="119" t="s">
        <v>32</v>
      </c>
      <c r="E26" s="89">
        <v>6360</v>
      </c>
      <c r="F26" s="89">
        <v>-1240</v>
      </c>
      <c r="G26" s="103">
        <f>E26+F26</f>
        <v>5120</v>
      </c>
    </row>
    <row r="27" spans="1:7" x14ac:dyDescent="0.2">
      <c r="A27" s="294">
        <v>38</v>
      </c>
      <c r="B27" s="295"/>
      <c r="C27" s="296"/>
      <c r="D27" s="119" t="s">
        <v>49</v>
      </c>
      <c r="E27" s="89">
        <v>1600</v>
      </c>
      <c r="F27" s="89"/>
      <c r="G27" s="103">
        <f>E27+F27</f>
        <v>1600</v>
      </c>
    </row>
    <row r="28" spans="1:7" x14ac:dyDescent="0.2">
      <c r="A28" s="259" t="s">
        <v>291</v>
      </c>
      <c r="B28" s="260"/>
      <c r="C28" s="260"/>
      <c r="D28" s="261"/>
      <c r="E28" s="124">
        <f>E31</f>
        <v>4000</v>
      </c>
      <c r="F28" s="124">
        <f t="shared" ref="F28:G28" si="9">F31</f>
        <v>-4000</v>
      </c>
      <c r="G28" s="124">
        <f t="shared" si="9"/>
        <v>0</v>
      </c>
    </row>
    <row r="29" spans="1:7" x14ac:dyDescent="0.2">
      <c r="A29" s="113" t="s">
        <v>108</v>
      </c>
      <c r="B29" s="114"/>
      <c r="C29" s="114"/>
      <c r="D29" s="115"/>
      <c r="E29" s="125"/>
      <c r="F29" s="125"/>
      <c r="G29" s="126"/>
    </row>
    <row r="30" spans="1:7" x14ac:dyDescent="0.2">
      <c r="A30" s="231" t="s">
        <v>273</v>
      </c>
      <c r="B30" s="232"/>
      <c r="C30" s="232"/>
      <c r="D30" s="233"/>
      <c r="E30" s="127">
        <v>4000</v>
      </c>
      <c r="F30" s="127">
        <v>0</v>
      </c>
      <c r="G30" s="128">
        <v>0</v>
      </c>
    </row>
    <row r="31" spans="1:7" x14ac:dyDescent="0.2">
      <c r="A31" s="248">
        <v>3</v>
      </c>
      <c r="B31" s="249"/>
      <c r="C31" s="250"/>
      <c r="D31" s="119" t="s">
        <v>18</v>
      </c>
      <c r="E31" s="89">
        <f>E32</f>
        <v>4000</v>
      </c>
      <c r="F31" s="89">
        <f t="shared" ref="F31:G31" si="10">F32</f>
        <v>-4000</v>
      </c>
      <c r="G31" s="89">
        <f t="shared" si="10"/>
        <v>0</v>
      </c>
    </row>
    <row r="32" spans="1:7" x14ac:dyDescent="0.2">
      <c r="A32" s="294">
        <v>32</v>
      </c>
      <c r="B32" s="295"/>
      <c r="C32" s="296"/>
      <c r="D32" s="119" t="s">
        <v>32</v>
      </c>
      <c r="E32" s="89">
        <v>4000</v>
      </c>
      <c r="F32" s="89">
        <v>-4000</v>
      </c>
      <c r="G32" s="89">
        <f>E32+F32</f>
        <v>0</v>
      </c>
    </row>
    <row r="33" spans="1:7" x14ac:dyDescent="0.2">
      <c r="A33" s="254" t="s">
        <v>292</v>
      </c>
      <c r="B33" s="255"/>
      <c r="C33" s="255"/>
      <c r="D33" s="256"/>
      <c r="E33" s="124">
        <f>E37</f>
        <v>20000</v>
      </c>
      <c r="F33" s="124">
        <f t="shared" ref="F33:G33" si="11">F37</f>
        <v>4800</v>
      </c>
      <c r="G33" s="124">
        <f t="shared" si="11"/>
        <v>24800</v>
      </c>
    </row>
    <row r="34" spans="1:7" x14ac:dyDescent="0.2">
      <c r="A34" s="113" t="s">
        <v>108</v>
      </c>
      <c r="B34" s="114"/>
      <c r="C34" s="114"/>
      <c r="D34" s="115"/>
      <c r="E34" s="125"/>
      <c r="F34" s="125"/>
      <c r="G34" s="126"/>
    </row>
    <row r="35" spans="1:7" x14ac:dyDescent="0.2">
      <c r="A35" s="231" t="s">
        <v>286</v>
      </c>
      <c r="B35" s="232"/>
      <c r="C35" s="232"/>
      <c r="D35" s="232"/>
      <c r="E35" s="127">
        <v>10000</v>
      </c>
      <c r="F35" s="127">
        <f>F33-F36</f>
        <v>2710</v>
      </c>
      <c r="G35" s="128">
        <f>G33-G36</f>
        <v>12710</v>
      </c>
    </row>
    <row r="36" spans="1:7" x14ac:dyDescent="0.2">
      <c r="A36" s="231" t="s">
        <v>273</v>
      </c>
      <c r="B36" s="232"/>
      <c r="C36" s="232"/>
      <c r="D36" s="233"/>
      <c r="E36" s="127">
        <v>10000</v>
      </c>
      <c r="F36" s="127">
        <v>2090</v>
      </c>
      <c r="G36" s="128">
        <v>12090</v>
      </c>
    </row>
    <row r="37" spans="1:7" x14ac:dyDescent="0.2">
      <c r="A37" s="248">
        <v>3</v>
      </c>
      <c r="B37" s="249"/>
      <c r="C37" s="250"/>
      <c r="D37" s="119" t="s">
        <v>18</v>
      </c>
      <c r="E37" s="89">
        <f>E38</f>
        <v>20000</v>
      </c>
      <c r="F37" s="89">
        <f t="shared" ref="F37:G37" si="12">F38</f>
        <v>4800</v>
      </c>
      <c r="G37" s="89">
        <f t="shared" si="12"/>
        <v>24800</v>
      </c>
    </row>
    <row r="38" spans="1:7" x14ac:dyDescent="0.2">
      <c r="A38" s="294">
        <v>32</v>
      </c>
      <c r="B38" s="295"/>
      <c r="C38" s="296"/>
      <c r="D38" s="119" t="s">
        <v>32</v>
      </c>
      <c r="E38" s="89">
        <v>20000</v>
      </c>
      <c r="F38" s="89">
        <f>1300+3500</f>
        <v>4800</v>
      </c>
      <c r="G38" s="103">
        <f>E38+F38</f>
        <v>24800</v>
      </c>
    </row>
    <row r="39" spans="1:7" x14ac:dyDescent="0.2">
      <c r="A39" s="234" t="s">
        <v>262</v>
      </c>
      <c r="B39" s="235"/>
      <c r="C39" s="235"/>
      <c r="D39" s="236"/>
      <c r="E39" s="129">
        <f>E40</f>
        <v>14100</v>
      </c>
      <c r="F39" s="129">
        <f t="shared" ref="F39:G39" si="13">F40</f>
        <v>4000</v>
      </c>
      <c r="G39" s="129">
        <f t="shared" si="13"/>
        <v>18100</v>
      </c>
    </row>
    <row r="40" spans="1:7" ht="24.75" customHeight="1" x14ac:dyDescent="0.2">
      <c r="A40" s="297" t="s">
        <v>317</v>
      </c>
      <c r="B40" s="298"/>
      <c r="C40" s="298"/>
      <c r="D40" s="299"/>
      <c r="E40" s="124">
        <f>E43</f>
        <v>14100</v>
      </c>
      <c r="F40" s="124">
        <f t="shared" ref="F40:G40" si="14">F43</f>
        <v>4000</v>
      </c>
      <c r="G40" s="124">
        <f t="shared" si="14"/>
        <v>18100</v>
      </c>
    </row>
    <row r="41" spans="1:7" ht="15" customHeight="1" x14ac:dyDescent="0.2">
      <c r="A41" s="113" t="s">
        <v>109</v>
      </c>
      <c r="B41" s="114"/>
      <c r="C41" s="114"/>
      <c r="D41" s="115"/>
      <c r="E41" s="116"/>
      <c r="F41" s="116"/>
      <c r="G41" s="116"/>
    </row>
    <row r="42" spans="1:7" x14ac:dyDescent="0.2">
      <c r="A42" s="231" t="s">
        <v>286</v>
      </c>
      <c r="B42" s="232"/>
      <c r="C42" s="232"/>
      <c r="D42" s="232"/>
      <c r="E42" s="127">
        <v>14100</v>
      </c>
      <c r="F42" s="127">
        <v>4000</v>
      </c>
      <c r="G42" s="127">
        <f>E42+F42</f>
        <v>18100</v>
      </c>
    </row>
    <row r="43" spans="1:7" x14ac:dyDescent="0.2">
      <c r="A43" s="248">
        <v>3</v>
      </c>
      <c r="B43" s="249"/>
      <c r="C43" s="250"/>
      <c r="D43" s="118" t="s">
        <v>18</v>
      </c>
      <c r="E43" s="98">
        <f>E44</f>
        <v>14100</v>
      </c>
      <c r="F43" s="98">
        <f t="shared" ref="F43:G43" si="15">F44</f>
        <v>4000</v>
      </c>
      <c r="G43" s="98">
        <f t="shared" si="15"/>
        <v>18100</v>
      </c>
    </row>
    <row r="44" spans="1:7" x14ac:dyDescent="0.2">
      <c r="A44" s="294">
        <v>32</v>
      </c>
      <c r="B44" s="295"/>
      <c r="C44" s="296"/>
      <c r="D44" s="118" t="s">
        <v>32</v>
      </c>
      <c r="E44" s="98">
        <v>14100</v>
      </c>
      <c r="F44" s="98">
        <f>2000+1000-1000+1000+1000</f>
        <v>4000</v>
      </c>
      <c r="G44" s="98">
        <f>E44+F44</f>
        <v>18100</v>
      </c>
    </row>
    <row r="45" spans="1:7" x14ac:dyDescent="0.2">
      <c r="A45" s="323" t="s">
        <v>65</v>
      </c>
      <c r="B45" s="324"/>
      <c r="C45" s="324"/>
      <c r="D45" s="324"/>
      <c r="E45" s="130">
        <f>E46+E94+E115+E294+E337+E355+E376+E410</f>
        <v>2148874</v>
      </c>
      <c r="F45" s="130">
        <f>F46+F94+F115+F294+F337+F355+F376+F410</f>
        <v>-70284.97</v>
      </c>
      <c r="G45" s="130">
        <f>G46+G94+G115+G294+G337+G355+G376+G410</f>
        <v>2078589.03</v>
      </c>
    </row>
    <row r="46" spans="1:7" x14ac:dyDescent="0.2">
      <c r="A46" s="131" t="s">
        <v>66</v>
      </c>
      <c r="B46" s="131"/>
      <c r="C46" s="131"/>
      <c r="D46" s="131"/>
      <c r="E46" s="106">
        <f>E50+E87+E80</f>
        <v>314301</v>
      </c>
      <c r="F46" s="106">
        <f t="shared" ref="F46:G46" si="16">F50+F87+F80</f>
        <v>5815.0300000000007</v>
      </c>
      <c r="G46" s="106">
        <f t="shared" si="16"/>
        <v>320116.03000000003</v>
      </c>
    </row>
    <row r="47" spans="1:7" x14ac:dyDescent="0.2">
      <c r="A47" s="87" t="s">
        <v>287</v>
      </c>
      <c r="B47" s="107"/>
      <c r="C47" s="107"/>
      <c r="D47" s="108"/>
      <c r="E47" s="109">
        <f>E53+E54+E55+E64+E71+E76+E83+E84</f>
        <v>132626</v>
      </c>
      <c r="F47" s="109">
        <f>F53+F55+F64+F71+F76+F84</f>
        <v>5815.0300000000007</v>
      </c>
      <c r="G47" s="109">
        <f>E47+F47</f>
        <v>138441.03</v>
      </c>
    </row>
    <row r="48" spans="1:7" x14ac:dyDescent="0.2">
      <c r="A48" s="87" t="s">
        <v>289</v>
      </c>
      <c r="B48" s="107"/>
      <c r="C48" s="107"/>
      <c r="D48" s="108"/>
      <c r="E48" s="109">
        <f>E57</f>
        <v>113</v>
      </c>
      <c r="F48" s="109"/>
      <c r="G48" s="109">
        <f t="shared" ref="G48:G49" si="17">E48+F48</f>
        <v>113</v>
      </c>
    </row>
    <row r="49" spans="1:7" x14ac:dyDescent="0.2">
      <c r="A49" s="87" t="s">
        <v>288</v>
      </c>
      <c r="B49" s="107"/>
      <c r="C49" s="107"/>
      <c r="D49" s="108"/>
      <c r="E49" s="109">
        <f>E56+E66+E90</f>
        <v>181562</v>
      </c>
      <c r="F49" s="109"/>
      <c r="G49" s="109">
        <f t="shared" si="17"/>
        <v>181562</v>
      </c>
    </row>
    <row r="50" spans="1:7" x14ac:dyDescent="0.2">
      <c r="A50" s="234" t="s">
        <v>107</v>
      </c>
      <c r="B50" s="235"/>
      <c r="C50" s="235"/>
      <c r="D50" s="236"/>
      <c r="E50" s="132">
        <f>E51+E62+E69+E74</f>
        <v>287400</v>
      </c>
      <c r="F50" s="132">
        <f t="shared" ref="F50:G50" si="18">F51+F62+F69+F74</f>
        <v>4815.0300000000007</v>
      </c>
      <c r="G50" s="132">
        <f t="shared" si="18"/>
        <v>292215.03000000003</v>
      </c>
    </row>
    <row r="51" spans="1:7" ht="24.75" customHeight="1" x14ac:dyDescent="0.2">
      <c r="A51" s="297" t="s">
        <v>169</v>
      </c>
      <c r="B51" s="298"/>
      <c r="C51" s="298"/>
      <c r="D51" s="298"/>
      <c r="E51" s="133">
        <f>E58</f>
        <v>252900</v>
      </c>
      <c r="F51" s="133">
        <f t="shared" ref="F51:G51" si="19">F58</f>
        <v>-1384.97</v>
      </c>
      <c r="G51" s="133">
        <f t="shared" si="19"/>
        <v>251515.03</v>
      </c>
    </row>
    <row r="52" spans="1:7" ht="15" customHeight="1" x14ac:dyDescent="0.2">
      <c r="A52" s="113" t="s">
        <v>109</v>
      </c>
      <c r="B52" s="134"/>
      <c r="C52" s="134"/>
      <c r="D52" s="134"/>
      <c r="E52" s="135"/>
      <c r="F52" s="135"/>
      <c r="G52" s="135"/>
    </row>
    <row r="53" spans="1:7" ht="15" customHeight="1" x14ac:dyDescent="0.2">
      <c r="A53" s="231" t="s">
        <v>286</v>
      </c>
      <c r="B53" s="232"/>
      <c r="C53" s="232"/>
      <c r="D53" s="232"/>
      <c r="E53" s="136">
        <v>4226</v>
      </c>
      <c r="F53" s="136">
        <v>70</v>
      </c>
      <c r="G53" s="136">
        <f>E53+F53</f>
        <v>4296</v>
      </c>
    </row>
    <row r="54" spans="1:7" ht="15" customHeight="1" x14ac:dyDescent="0.2">
      <c r="A54" s="231" t="s">
        <v>285</v>
      </c>
      <c r="B54" s="232"/>
      <c r="C54" s="232"/>
      <c r="D54" s="233"/>
      <c r="E54" s="136">
        <v>50</v>
      </c>
      <c r="F54" s="136"/>
      <c r="G54" s="136">
        <f t="shared" ref="G54:G57" si="20">E54+F54</f>
        <v>50</v>
      </c>
    </row>
    <row r="55" spans="1:7" ht="15" customHeight="1" x14ac:dyDescent="0.2">
      <c r="A55" s="231" t="s">
        <v>276</v>
      </c>
      <c r="B55" s="232"/>
      <c r="C55" s="232"/>
      <c r="D55" s="232"/>
      <c r="E55" s="136">
        <f>73963-113</f>
        <v>73850</v>
      </c>
      <c r="F55" s="136">
        <v>-1454.97</v>
      </c>
      <c r="G55" s="136">
        <f t="shared" si="20"/>
        <v>72395.03</v>
      </c>
    </row>
    <row r="56" spans="1:7" ht="15" customHeight="1" x14ac:dyDescent="0.2">
      <c r="A56" s="231" t="s">
        <v>273</v>
      </c>
      <c r="B56" s="232"/>
      <c r="C56" s="232"/>
      <c r="D56" s="233"/>
      <c r="E56" s="137">
        <v>174661</v>
      </c>
      <c r="F56" s="137"/>
      <c r="G56" s="136">
        <f t="shared" si="20"/>
        <v>174661</v>
      </c>
    </row>
    <row r="57" spans="1:7" ht="15" customHeight="1" x14ac:dyDescent="0.2">
      <c r="A57" s="231" t="s">
        <v>281</v>
      </c>
      <c r="B57" s="232"/>
      <c r="C57" s="232"/>
      <c r="D57" s="233"/>
      <c r="E57" s="137">
        <f>83+30</f>
        <v>113</v>
      </c>
      <c r="F57" s="137"/>
      <c r="G57" s="136">
        <f t="shared" si="20"/>
        <v>113</v>
      </c>
    </row>
    <row r="58" spans="1:7" x14ac:dyDescent="0.2">
      <c r="A58" s="248">
        <v>3</v>
      </c>
      <c r="B58" s="249"/>
      <c r="C58" s="250"/>
      <c r="D58" s="119" t="s">
        <v>18</v>
      </c>
      <c r="E58" s="98">
        <f>E59+E60+E61</f>
        <v>252900</v>
      </c>
      <c r="F58" s="98">
        <f t="shared" ref="F58:G58" si="21">F59+F60+F61</f>
        <v>-1384.97</v>
      </c>
      <c r="G58" s="98">
        <f t="shared" si="21"/>
        <v>251515.03</v>
      </c>
    </row>
    <row r="59" spans="1:7" x14ac:dyDescent="0.2">
      <c r="A59" s="251">
        <v>31</v>
      </c>
      <c r="B59" s="252"/>
      <c r="C59" s="253"/>
      <c r="D59" s="119" t="s">
        <v>21</v>
      </c>
      <c r="E59" s="98">
        <v>139487</v>
      </c>
      <c r="F59" s="98">
        <f>70</f>
        <v>70</v>
      </c>
      <c r="G59" s="98">
        <f>E59+F59</f>
        <v>139557</v>
      </c>
    </row>
    <row r="60" spans="1:7" x14ac:dyDescent="0.2">
      <c r="A60" s="294">
        <v>32</v>
      </c>
      <c r="B60" s="295"/>
      <c r="C60" s="296"/>
      <c r="D60" s="119" t="s">
        <v>32</v>
      </c>
      <c r="E60" s="98">
        <v>109981</v>
      </c>
      <c r="F60" s="98">
        <f>-500-1000-500+2000-500+3000-2000+875-959.97-1000+250+230-500+250-1000+200-500+200</f>
        <v>-1454.97</v>
      </c>
      <c r="G60" s="98">
        <f t="shared" ref="G60:G61" si="22">E60+F60</f>
        <v>108526.03</v>
      </c>
    </row>
    <row r="61" spans="1:7" x14ac:dyDescent="0.2">
      <c r="A61" s="294">
        <v>34</v>
      </c>
      <c r="B61" s="295"/>
      <c r="C61" s="296"/>
      <c r="D61" s="119" t="s">
        <v>84</v>
      </c>
      <c r="E61" s="98">
        <v>3432</v>
      </c>
      <c r="F61" s="98"/>
      <c r="G61" s="98">
        <f t="shared" si="22"/>
        <v>3432</v>
      </c>
    </row>
    <row r="62" spans="1:7" x14ac:dyDescent="0.2">
      <c r="A62" s="332" t="s">
        <v>170</v>
      </c>
      <c r="B62" s="333"/>
      <c r="C62" s="333"/>
      <c r="D62" s="334"/>
      <c r="E62" s="133">
        <f>E67</f>
        <v>15000</v>
      </c>
      <c r="F62" s="133">
        <f t="shared" ref="F62:G62" si="23">F67</f>
        <v>10000</v>
      </c>
      <c r="G62" s="133">
        <f t="shared" si="23"/>
        <v>25000</v>
      </c>
    </row>
    <row r="63" spans="1:7" ht="15" customHeight="1" x14ac:dyDescent="0.2">
      <c r="A63" s="113" t="s">
        <v>109</v>
      </c>
      <c r="B63" s="134"/>
      <c r="C63" s="134"/>
      <c r="D63" s="134"/>
      <c r="E63" s="135"/>
      <c r="F63" s="135"/>
      <c r="G63" s="135"/>
    </row>
    <row r="64" spans="1:7" x14ac:dyDescent="0.2">
      <c r="A64" s="231" t="s">
        <v>286</v>
      </c>
      <c r="B64" s="232"/>
      <c r="C64" s="232"/>
      <c r="D64" s="232"/>
      <c r="E64" s="137">
        <v>15000</v>
      </c>
      <c r="F64" s="137">
        <v>10000</v>
      </c>
      <c r="G64" s="137">
        <f>E64+F64</f>
        <v>25000</v>
      </c>
    </row>
    <row r="65" spans="1:7" x14ac:dyDescent="0.2">
      <c r="A65" s="231" t="s">
        <v>276</v>
      </c>
      <c r="B65" s="232"/>
      <c r="C65" s="232"/>
      <c r="D65" s="232"/>
      <c r="E65" s="137"/>
      <c r="F65" s="137"/>
      <c r="G65" s="137"/>
    </row>
    <row r="66" spans="1:7" x14ac:dyDescent="0.2">
      <c r="A66" s="231" t="s">
        <v>273</v>
      </c>
      <c r="B66" s="232"/>
      <c r="C66" s="232"/>
      <c r="D66" s="233"/>
      <c r="E66" s="137"/>
      <c r="F66" s="137"/>
      <c r="G66" s="137"/>
    </row>
    <row r="67" spans="1:7" ht="24" x14ac:dyDescent="0.2">
      <c r="A67" s="248">
        <v>4</v>
      </c>
      <c r="B67" s="249"/>
      <c r="C67" s="250"/>
      <c r="D67" s="119" t="s">
        <v>5</v>
      </c>
      <c r="E67" s="98">
        <f>E68</f>
        <v>15000</v>
      </c>
      <c r="F67" s="98">
        <f t="shared" ref="F67:G67" si="24">F68</f>
        <v>10000</v>
      </c>
      <c r="G67" s="98">
        <f t="shared" si="24"/>
        <v>25000</v>
      </c>
    </row>
    <row r="68" spans="1:7" ht="24" x14ac:dyDescent="0.2">
      <c r="A68" s="251">
        <v>42</v>
      </c>
      <c r="B68" s="252"/>
      <c r="C68" s="253"/>
      <c r="D68" s="119" t="s">
        <v>81</v>
      </c>
      <c r="E68" s="98">
        <v>15000</v>
      </c>
      <c r="F68" s="98">
        <v>10000</v>
      </c>
      <c r="G68" s="98">
        <f>E68+F68</f>
        <v>25000</v>
      </c>
    </row>
    <row r="69" spans="1:7" ht="24.75" customHeight="1" x14ac:dyDescent="0.2">
      <c r="A69" s="254" t="s">
        <v>210</v>
      </c>
      <c r="B69" s="255"/>
      <c r="C69" s="255"/>
      <c r="D69" s="256"/>
      <c r="E69" s="133">
        <f>E72</f>
        <v>14000</v>
      </c>
      <c r="F69" s="133">
        <f t="shared" ref="F69:G69" si="25">F72</f>
        <v>-300</v>
      </c>
      <c r="G69" s="133">
        <f t="shared" si="25"/>
        <v>13700</v>
      </c>
    </row>
    <row r="70" spans="1:7" ht="15" customHeight="1" x14ac:dyDescent="0.2">
      <c r="A70" s="113" t="s">
        <v>109</v>
      </c>
      <c r="B70" s="134"/>
      <c r="C70" s="134"/>
      <c r="D70" s="134"/>
      <c r="E70" s="135"/>
      <c r="F70" s="135"/>
      <c r="G70" s="135"/>
    </row>
    <row r="71" spans="1:7" x14ac:dyDescent="0.2">
      <c r="A71" s="231" t="s">
        <v>286</v>
      </c>
      <c r="B71" s="232"/>
      <c r="C71" s="232"/>
      <c r="D71" s="232"/>
      <c r="E71" s="137">
        <v>14000</v>
      </c>
      <c r="F71" s="137">
        <v>-300</v>
      </c>
      <c r="G71" s="137">
        <f>F71+E71</f>
        <v>13700</v>
      </c>
    </row>
    <row r="72" spans="1:7" x14ac:dyDescent="0.2">
      <c r="A72" s="248">
        <v>3</v>
      </c>
      <c r="B72" s="249"/>
      <c r="C72" s="250"/>
      <c r="D72" s="119" t="s">
        <v>18</v>
      </c>
      <c r="E72" s="98">
        <f>E73</f>
        <v>14000</v>
      </c>
      <c r="F72" s="98">
        <f t="shared" ref="F72:G72" si="26">F73</f>
        <v>-300</v>
      </c>
      <c r="G72" s="98">
        <f t="shared" si="26"/>
        <v>13700</v>
      </c>
    </row>
    <row r="73" spans="1:7" x14ac:dyDescent="0.2">
      <c r="A73" s="294">
        <v>32</v>
      </c>
      <c r="B73" s="295"/>
      <c r="C73" s="296"/>
      <c r="D73" s="118" t="s">
        <v>32</v>
      </c>
      <c r="E73" s="98">
        <v>14000</v>
      </c>
      <c r="F73" s="98">
        <v>-300</v>
      </c>
      <c r="G73" s="98">
        <f>E73+F73</f>
        <v>13700</v>
      </c>
    </row>
    <row r="74" spans="1:7" x14ac:dyDescent="0.2">
      <c r="A74" s="259" t="s">
        <v>171</v>
      </c>
      <c r="B74" s="260"/>
      <c r="C74" s="260"/>
      <c r="D74" s="261"/>
      <c r="E74" s="138">
        <f>E78</f>
        <v>5500</v>
      </c>
      <c r="F74" s="138">
        <f t="shared" ref="F74:G74" si="27">F78</f>
        <v>-3500</v>
      </c>
      <c r="G74" s="138">
        <f t="shared" si="27"/>
        <v>2000</v>
      </c>
    </row>
    <row r="75" spans="1:7" x14ac:dyDescent="0.2">
      <c r="A75" s="113" t="s">
        <v>109</v>
      </c>
      <c r="B75" s="134"/>
      <c r="C75" s="134"/>
      <c r="D75" s="134"/>
      <c r="E75" s="139"/>
      <c r="F75" s="139"/>
      <c r="G75" s="139"/>
    </row>
    <row r="76" spans="1:7" x14ac:dyDescent="0.2">
      <c r="A76" s="231" t="s">
        <v>286</v>
      </c>
      <c r="B76" s="232"/>
      <c r="C76" s="232"/>
      <c r="D76" s="232"/>
      <c r="E76" s="137">
        <v>5500</v>
      </c>
      <c r="F76" s="137">
        <v>-3500</v>
      </c>
      <c r="G76" s="137">
        <f>E76+F76</f>
        <v>2000</v>
      </c>
    </row>
    <row r="77" spans="1:7" x14ac:dyDescent="0.2">
      <c r="A77" s="231" t="s">
        <v>276</v>
      </c>
      <c r="B77" s="232"/>
      <c r="C77" s="232"/>
      <c r="D77" s="232"/>
      <c r="E77" s="137"/>
      <c r="F77" s="137"/>
      <c r="G77" s="137"/>
    </row>
    <row r="78" spans="1:7" ht="24" x14ac:dyDescent="0.2">
      <c r="A78" s="248">
        <v>4</v>
      </c>
      <c r="B78" s="249"/>
      <c r="C78" s="250"/>
      <c r="D78" s="119" t="s">
        <v>5</v>
      </c>
      <c r="E78" s="98">
        <f>E79</f>
        <v>5500</v>
      </c>
      <c r="F78" s="98">
        <f t="shared" ref="F78:G78" si="28">F79</f>
        <v>-3500</v>
      </c>
      <c r="G78" s="98">
        <f t="shared" si="28"/>
        <v>2000</v>
      </c>
    </row>
    <row r="79" spans="1:7" ht="24" x14ac:dyDescent="0.2">
      <c r="A79" s="251">
        <v>42</v>
      </c>
      <c r="B79" s="252"/>
      <c r="C79" s="253"/>
      <c r="D79" s="119" t="s">
        <v>81</v>
      </c>
      <c r="E79" s="98">
        <v>5500</v>
      </c>
      <c r="F79" s="98">
        <f>-1500-2000</f>
        <v>-3500</v>
      </c>
      <c r="G79" s="98">
        <f>E79+F79</f>
        <v>2000</v>
      </c>
    </row>
    <row r="80" spans="1:7" x14ac:dyDescent="0.2">
      <c r="A80" s="234" t="s">
        <v>110</v>
      </c>
      <c r="B80" s="235"/>
      <c r="C80" s="235"/>
      <c r="D80" s="236"/>
      <c r="E80" s="140">
        <f>E81</f>
        <v>20000</v>
      </c>
      <c r="F80" s="140">
        <f t="shared" ref="F80:G80" si="29">F81</f>
        <v>1000</v>
      </c>
      <c r="G80" s="140">
        <f t="shared" si="29"/>
        <v>21000</v>
      </c>
    </row>
    <row r="81" spans="1:7" x14ac:dyDescent="0.2">
      <c r="A81" s="259" t="s">
        <v>172</v>
      </c>
      <c r="B81" s="260"/>
      <c r="C81" s="260"/>
      <c r="D81" s="261"/>
      <c r="E81" s="141">
        <f>E85</f>
        <v>20000</v>
      </c>
      <c r="F81" s="141">
        <f t="shared" ref="F81:G81" si="30">F85</f>
        <v>1000</v>
      </c>
      <c r="G81" s="141">
        <f t="shared" si="30"/>
        <v>21000</v>
      </c>
    </row>
    <row r="82" spans="1:7" ht="15" customHeight="1" x14ac:dyDescent="0.2">
      <c r="A82" s="113" t="s">
        <v>132</v>
      </c>
      <c r="B82" s="134"/>
      <c r="C82" s="134"/>
      <c r="D82" s="134"/>
      <c r="E82" s="135"/>
      <c r="F82" s="135"/>
      <c r="G82" s="135"/>
    </row>
    <row r="83" spans="1:7" ht="15" customHeight="1" x14ac:dyDescent="0.2">
      <c r="A83" s="231" t="s">
        <v>286</v>
      </c>
      <c r="B83" s="232"/>
      <c r="C83" s="232"/>
      <c r="D83" s="232"/>
      <c r="E83" s="136"/>
      <c r="F83" s="136"/>
      <c r="G83" s="136"/>
    </row>
    <row r="84" spans="1:7" x14ac:dyDescent="0.2">
      <c r="A84" s="231" t="s">
        <v>276</v>
      </c>
      <c r="B84" s="232"/>
      <c r="C84" s="232"/>
      <c r="D84" s="232"/>
      <c r="E84" s="137">
        <v>20000</v>
      </c>
      <c r="F84" s="137">
        <v>1000</v>
      </c>
      <c r="G84" s="137">
        <f>E84+F84</f>
        <v>21000</v>
      </c>
    </row>
    <row r="85" spans="1:7" x14ac:dyDescent="0.2">
      <c r="A85" s="248">
        <v>3</v>
      </c>
      <c r="B85" s="249"/>
      <c r="C85" s="250"/>
      <c r="D85" s="119" t="s">
        <v>18</v>
      </c>
      <c r="E85" s="98">
        <f>E86</f>
        <v>20000</v>
      </c>
      <c r="F85" s="98">
        <f t="shared" ref="F85:G85" si="31">F86</f>
        <v>1000</v>
      </c>
      <c r="G85" s="98">
        <f t="shared" si="31"/>
        <v>21000</v>
      </c>
    </row>
    <row r="86" spans="1:7" ht="24" x14ac:dyDescent="0.2">
      <c r="A86" s="294">
        <v>36</v>
      </c>
      <c r="B86" s="295"/>
      <c r="C86" s="296"/>
      <c r="D86" s="118" t="s">
        <v>47</v>
      </c>
      <c r="E86" s="98">
        <v>20000</v>
      </c>
      <c r="F86" s="98">
        <v>1000</v>
      </c>
      <c r="G86" s="98">
        <f>E86+F86</f>
        <v>21000</v>
      </c>
    </row>
    <row r="87" spans="1:7" x14ac:dyDescent="0.2">
      <c r="A87" s="234" t="s">
        <v>111</v>
      </c>
      <c r="B87" s="235"/>
      <c r="C87" s="235"/>
      <c r="D87" s="236"/>
      <c r="E87" s="142">
        <f t="shared" ref="E87:G87" si="32">E88</f>
        <v>6901</v>
      </c>
      <c r="F87" s="142">
        <f t="shared" si="32"/>
        <v>0</v>
      </c>
      <c r="G87" s="142">
        <f t="shared" si="32"/>
        <v>6901</v>
      </c>
    </row>
    <row r="88" spans="1:7" ht="12" customHeight="1" x14ac:dyDescent="0.2">
      <c r="A88" s="254" t="s">
        <v>173</v>
      </c>
      <c r="B88" s="255"/>
      <c r="C88" s="255"/>
      <c r="D88" s="256"/>
      <c r="E88" s="143">
        <f>E91</f>
        <v>6901</v>
      </c>
      <c r="F88" s="143">
        <f t="shared" ref="F88:G88" si="33">F91</f>
        <v>0</v>
      </c>
      <c r="G88" s="143">
        <f t="shared" si="33"/>
        <v>6901</v>
      </c>
    </row>
    <row r="89" spans="1:7" ht="15" customHeight="1" x14ac:dyDescent="0.2">
      <c r="A89" s="113" t="s">
        <v>213</v>
      </c>
      <c r="B89" s="134"/>
      <c r="C89" s="134"/>
      <c r="D89" s="134"/>
      <c r="E89" s="135"/>
      <c r="F89" s="135"/>
      <c r="G89" s="135"/>
    </row>
    <row r="90" spans="1:7" x14ac:dyDescent="0.2">
      <c r="A90" s="329" t="s">
        <v>273</v>
      </c>
      <c r="B90" s="330"/>
      <c r="C90" s="330"/>
      <c r="D90" s="331"/>
      <c r="E90" s="137">
        <v>6901</v>
      </c>
      <c r="F90" s="137">
        <v>0</v>
      </c>
      <c r="G90" s="137">
        <f>E90+F90</f>
        <v>6901</v>
      </c>
    </row>
    <row r="91" spans="1:7" x14ac:dyDescent="0.2">
      <c r="A91" s="248">
        <v>3</v>
      </c>
      <c r="B91" s="249"/>
      <c r="C91" s="250"/>
      <c r="D91" s="119" t="s">
        <v>18</v>
      </c>
      <c r="E91" s="98">
        <f>E92+E93</f>
        <v>6901</v>
      </c>
      <c r="F91" s="98">
        <f t="shared" ref="F91:G91" si="34">F92+F93</f>
        <v>0</v>
      </c>
      <c r="G91" s="98">
        <f t="shared" si="34"/>
        <v>6901</v>
      </c>
    </row>
    <row r="92" spans="1:7" x14ac:dyDescent="0.2">
      <c r="A92" s="251">
        <v>31</v>
      </c>
      <c r="B92" s="252"/>
      <c r="C92" s="253"/>
      <c r="D92" s="119" t="s">
        <v>21</v>
      </c>
      <c r="E92" s="98">
        <v>6781</v>
      </c>
      <c r="F92" s="98"/>
      <c r="G92" s="98">
        <f>E92+F92</f>
        <v>6781</v>
      </c>
    </row>
    <row r="93" spans="1:7" x14ac:dyDescent="0.2">
      <c r="A93" s="294">
        <v>32</v>
      </c>
      <c r="B93" s="295"/>
      <c r="C93" s="296"/>
      <c r="D93" s="118" t="s">
        <v>32</v>
      </c>
      <c r="E93" s="98">
        <v>120</v>
      </c>
      <c r="F93" s="98"/>
      <c r="G93" s="98">
        <f>E93+F93</f>
        <v>120</v>
      </c>
    </row>
    <row r="94" spans="1:7" x14ac:dyDescent="0.2">
      <c r="A94" s="131" t="s">
        <v>67</v>
      </c>
      <c r="B94" s="131"/>
      <c r="C94" s="131"/>
      <c r="D94" s="131"/>
      <c r="E94" s="106">
        <f>E98+E108</f>
        <v>24192</v>
      </c>
      <c r="F94" s="106">
        <f t="shared" ref="F94:G94" si="35">F98+F108</f>
        <v>1000</v>
      </c>
      <c r="G94" s="106">
        <f t="shared" si="35"/>
        <v>25192</v>
      </c>
    </row>
    <row r="95" spans="1:7" x14ac:dyDescent="0.2">
      <c r="A95" s="87" t="s">
        <v>287</v>
      </c>
      <c r="B95" s="107"/>
      <c r="C95" s="107"/>
      <c r="D95" s="108"/>
      <c r="E95" s="109">
        <f>E102+E103+E111+E112</f>
        <v>24192</v>
      </c>
      <c r="F95" s="109">
        <f>F102+F111</f>
        <v>1000</v>
      </c>
      <c r="G95" s="109">
        <f>E95+F95</f>
        <v>25192</v>
      </c>
    </row>
    <row r="96" spans="1:7" x14ac:dyDescent="0.2">
      <c r="A96" s="87" t="s">
        <v>289</v>
      </c>
      <c r="B96" s="107"/>
      <c r="C96" s="107"/>
      <c r="D96" s="108"/>
      <c r="E96" s="144"/>
      <c r="F96" s="144"/>
      <c r="G96" s="109">
        <f t="shared" ref="G96:G97" si="36">E96+F96</f>
        <v>0</v>
      </c>
    </row>
    <row r="97" spans="1:7" x14ac:dyDescent="0.2">
      <c r="A97" s="87" t="s">
        <v>288</v>
      </c>
      <c r="B97" s="107"/>
      <c r="C97" s="107"/>
      <c r="D97" s="108"/>
      <c r="E97" s="144"/>
      <c r="F97" s="144"/>
      <c r="G97" s="109">
        <f t="shared" si="36"/>
        <v>0</v>
      </c>
    </row>
    <row r="98" spans="1:7" x14ac:dyDescent="0.2">
      <c r="A98" s="145" t="s">
        <v>112</v>
      </c>
      <c r="B98" s="145"/>
      <c r="C98" s="145"/>
      <c r="D98" s="145"/>
      <c r="E98" s="142">
        <f t="shared" ref="E98:G98" si="37">E99</f>
        <v>19192</v>
      </c>
      <c r="F98" s="142">
        <f t="shared" si="37"/>
        <v>4000</v>
      </c>
      <c r="G98" s="142">
        <f t="shared" si="37"/>
        <v>23192</v>
      </c>
    </row>
    <row r="99" spans="1:7" x14ac:dyDescent="0.2">
      <c r="A99" s="241" t="s">
        <v>174</v>
      </c>
      <c r="B99" s="242"/>
      <c r="C99" s="242"/>
      <c r="D99" s="243"/>
      <c r="E99" s="325">
        <f>E104</f>
        <v>19192</v>
      </c>
      <c r="F99" s="325">
        <f t="shared" ref="F99:G99" si="38">F104</f>
        <v>4000</v>
      </c>
      <c r="G99" s="325">
        <f t="shared" si="38"/>
        <v>23192</v>
      </c>
    </row>
    <row r="100" spans="1:7" x14ac:dyDescent="0.2">
      <c r="A100" s="146" t="s">
        <v>68</v>
      </c>
      <c r="B100" s="147"/>
      <c r="C100" s="147"/>
      <c r="D100" s="147"/>
      <c r="E100" s="326"/>
      <c r="F100" s="326"/>
      <c r="G100" s="326"/>
    </row>
    <row r="101" spans="1:7" ht="15" customHeight="1" x14ac:dyDescent="0.2">
      <c r="A101" s="113" t="s">
        <v>134</v>
      </c>
      <c r="B101" s="134"/>
      <c r="C101" s="134"/>
      <c r="D101" s="134"/>
      <c r="E101" s="135"/>
      <c r="F101" s="135"/>
      <c r="G101" s="135"/>
    </row>
    <row r="102" spans="1:7" ht="15" customHeight="1" x14ac:dyDescent="0.2">
      <c r="A102" s="231" t="s">
        <v>286</v>
      </c>
      <c r="B102" s="232"/>
      <c r="C102" s="232"/>
      <c r="D102" s="232"/>
      <c r="E102" s="136">
        <v>2334</v>
      </c>
      <c r="F102" s="136">
        <v>4000</v>
      </c>
      <c r="G102" s="136">
        <f>E102+F102</f>
        <v>6334</v>
      </c>
    </row>
    <row r="103" spans="1:7" x14ac:dyDescent="0.2">
      <c r="A103" s="231" t="s">
        <v>276</v>
      </c>
      <c r="B103" s="232"/>
      <c r="C103" s="232"/>
      <c r="D103" s="232"/>
      <c r="E103" s="137">
        <f>16745+113</f>
        <v>16858</v>
      </c>
      <c r="F103" s="137"/>
      <c r="G103" s="136">
        <f>E103+F103</f>
        <v>16858</v>
      </c>
    </row>
    <row r="104" spans="1:7" x14ac:dyDescent="0.2">
      <c r="A104" s="248">
        <v>3</v>
      </c>
      <c r="B104" s="249"/>
      <c r="C104" s="250"/>
      <c r="D104" s="119" t="s">
        <v>18</v>
      </c>
      <c r="E104" s="98">
        <f>E106+E107+E105</f>
        <v>19192</v>
      </c>
      <c r="F104" s="98">
        <f t="shared" ref="F104:G104" si="39">F106+F107+F105</f>
        <v>4000</v>
      </c>
      <c r="G104" s="98">
        <f t="shared" si="39"/>
        <v>23192</v>
      </c>
    </row>
    <row r="105" spans="1:7" x14ac:dyDescent="0.2">
      <c r="A105" s="186"/>
      <c r="B105" s="118"/>
      <c r="C105" s="187">
        <v>32</v>
      </c>
      <c r="D105" s="118" t="s">
        <v>32</v>
      </c>
      <c r="E105" s="98"/>
      <c r="F105" s="98">
        <v>3192</v>
      </c>
      <c r="G105" s="98">
        <f>E105+F105</f>
        <v>3192</v>
      </c>
    </row>
    <row r="106" spans="1:7" x14ac:dyDescent="0.2">
      <c r="A106" s="251">
        <v>35</v>
      </c>
      <c r="B106" s="252"/>
      <c r="C106" s="253"/>
      <c r="D106" s="119" t="s">
        <v>46</v>
      </c>
      <c r="E106" s="98">
        <v>16000</v>
      </c>
      <c r="F106" s="98">
        <v>4000</v>
      </c>
      <c r="G106" s="98">
        <f>E106+F106</f>
        <v>20000</v>
      </c>
    </row>
    <row r="107" spans="1:7" ht="24" x14ac:dyDescent="0.2">
      <c r="A107" s="294">
        <v>36</v>
      </c>
      <c r="B107" s="295"/>
      <c r="C107" s="296"/>
      <c r="D107" s="118" t="s">
        <v>47</v>
      </c>
      <c r="E107" s="98">
        <v>3192</v>
      </c>
      <c r="F107" s="98">
        <v>-3192</v>
      </c>
      <c r="G107" s="98">
        <f>E107+F107</f>
        <v>0</v>
      </c>
    </row>
    <row r="108" spans="1:7" x14ac:dyDescent="0.2">
      <c r="A108" s="265" t="s">
        <v>113</v>
      </c>
      <c r="B108" s="266"/>
      <c r="C108" s="266"/>
      <c r="D108" s="266"/>
      <c r="E108" s="111">
        <f t="shared" ref="E108:G108" si="40">E109</f>
        <v>5000</v>
      </c>
      <c r="F108" s="111">
        <f t="shared" si="40"/>
        <v>-3000</v>
      </c>
      <c r="G108" s="111">
        <f t="shared" si="40"/>
        <v>2000</v>
      </c>
    </row>
    <row r="109" spans="1:7" x14ac:dyDescent="0.2">
      <c r="A109" s="332" t="s">
        <v>175</v>
      </c>
      <c r="B109" s="333"/>
      <c r="C109" s="333"/>
      <c r="D109" s="333"/>
      <c r="E109" s="141">
        <f>E113</f>
        <v>5000</v>
      </c>
      <c r="F109" s="141">
        <f t="shared" ref="F109:G109" si="41">F113</f>
        <v>-3000</v>
      </c>
      <c r="G109" s="141">
        <f t="shared" si="41"/>
        <v>2000</v>
      </c>
    </row>
    <row r="110" spans="1:7" ht="15" customHeight="1" x14ac:dyDescent="0.2">
      <c r="A110" s="113" t="s">
        <v>135</v>
      </c>
      <c r="B110" s="134"/>
      <c r="C110" s="134"/>
      <c r="D110" s="134"/>
      <c r="E110" s="135"/>
      <c r="F110" s="135"/>
      <c r="G110" s="135"/>
    </row>
    <row r="111" spans="1:7" x14ac:dyDescent="0.2">
      <c r="A111" s="231" t="s">
        <v>286</v>
      </c>
      <c r="B111" s="232"/>
      <c r="C111" s="232"/>
      <c r="D111" s="232"/>
      <c r="E111" s="137">
        <v>5000</v>
      </c>
      <c r="F111" s="137">
        <v>-3000</v>
      </c>
      <c r="G111" s="137">
        <f>E111+F111</f>
        <v>2000</v>
      </c>
    </row>
    <row r="112" spans="1:7" x14ac:dyDescent="0.2">
      <c r="A112" s="231" t="s">
        <v>276</v>
      </c>
      <c r="B112" s="232"/>
      <c r="C112" s="232"/>
      <c r="D112" s="232"/>
      <c r="E112" s="137"/>
      <c r="F112" s="137"/>
      <c r="G112" s="137">
        <f>E112+F112</f>
        <v>0</v>
      </c>
    </row>
    <row r="113" spans="1:7" x14ac:dyDescent="0.2">
      <c r="A113" s="248">
        <v>3</v>
      </c>
      <c r="B113" s="249"/>
      <c r="C113" s="250"/>
      <c r="D113" s="119" t="s">
        <v>18</v>
      </c>
      <c r="E113" s="98">
        <f>E114</f>
        <v>5000</v>
      </c>
      <c r="F113" s="98">
        <f t="shared" ref="F113:G113" si="42">F114</f>
        <v>-3000</v>
      </c>
      <c r="G113" s="98">
        <f t="shared" si="42"/>
        <v>2000</v>
      </c>
    </row>
    <row r="114" spans="1:7" x14ac:dyDescent="0.2">
      <c r="A114" s="251">
        <v>35</v>
      </c>
      <c r="B114" s="252"/>
      <c r="C114" s="253"/>
      <c r="D114" s="119" t="s">
        <v>46</v>
      </c>
      <c r="E114" s="98">
        <v>5000</v>
      </c>
      <c r="F114" s="98">
        <v>-3000</v>
      </c>
      <c r="G114" s="98">
        <f>E114+F114</f>
        <v>2000</v>
      </c>
    </row>
    <row r="115" spans="1:7" x14ac:dyDescent="0.2">
      <c r="A115" s="148" t="s">
        <v>69</v>
      </c>
      <c r="B115" s="148"/>
      <c r="C115" s="148"/>
      <c r="D115" s="148"/>
      <c r="E115" s="321">
        <f>E120+E175+E228+E237+E250+E257+E284</f>
        <v>1146940</v>
      </c>
      <c r="F115" s="321">
        <f t="shared" ref="F115:G115" si="43">F120+F175+F228+F237+F250+F257+F284</f>
        <v>-121100</v>
      </c>
      <c r="G115" s="321">
        <f t="shared" si="43"/>
        <v>1025840</v>
      </c>
    </row>
    <row r="116" spans="1:7" x14ac:dyDescent="0.2">
      <c r="A116" s="303" t="s">
        <v>70</v>
      </c>
      <c r="B116" s="304"/>
      <c r="C116" s="304"/>
      <c r="D116" s="305"/>
      <c r="E116" s="322"/>
      <c r="F116" s="322"/>
      <c r="G116" s="322"/>
    </row>
    <row r="117" spans="1:7" x14ac:dyDescent="0.2">
      <c r="A117" s="87" t="s">
        <v>287</v>
      </c>
      <c r="B117" s="107"/>
      <c r="C117" s="107"/>
      <c r="D117" s="108"/>
      <c r="E117" s="149">
        <f>E124+E133+E138+E147+E153+E154+E163+E170+E185+E191+E198+E205+E213+E233+E240+E247+E253+E260+E267+E275+E287</f>
        <v>311890</v>
      </c>
      <c r="F117" s="149">
        <f>F124+F133+F138+F147+F170+F178+F185+F191+F198+F205+F213+F233+F240+F247+F253+F260+F267+F275+F281+F287</f>
        <v>-160800</v>
      </c>
      <c r="G117" s="149">
        <f>E117+F117</f>
        <v>151090</v>
      </c>
    </row>
    <row r="118" spans="1:7" x14ac:dyDescent="0.2">
      <c r="A118" s="87" t="s">
        <v>289</v>
      </c>
      <c r="B118" s="107"/>
      <c r="C118" s="107"/>
      <c r="D118" s="108"/>
      <c r="E118" s="149">
        <f>E125+E126+E127+E139+E155+E156+E157+E164+E171+E179+E214+E225</f>
        <v>147300</v>
      </c>
      <c r="F118" s="149">
        <f>F125+F126+F127+F139+F140+F141+F142+F148+F165+F171+F172+F179+F199+F206+F214+F225</f>
        <v>25000</v>
      </c>
      <c r="G118" s="149">
        <f t="shared" ref="G118:G119" si="44">E118+F118</f>
        <v>172300</v>
      </c>
    </row>
    <row r="119" spans="1:7" x14ac:dyDescent="0.2">
      <c r="A119" s="87" t="s">
        <v>288</v>
      </c>
      <c r="B119" s="107"/>
      <c r="C119" s="107"/>
      <c r="D119" s="108"/>
      <c r="E119" s="149">
        <f>E158+E128+E172+E180+E186+E192+E207+E215+E220+E234+E241+E268+E280+E288</f>
        <v>687750</v>
      </c>
      <c r="F119" s="149">
        <f>F128+F158+F180+F186+F192+F200+F207+F215+F234+F241+F268+F280+F288</f>
        <v>14700</v>
      </c>
      <c r="G119" s="149">
        <f t="shared" si="44"/>
        <v>702450</v>
      </c>
    </row>
    <row r="120" spans="1:7" x14ac:dyDescent="0.2">
      <c r="A120" s="234" t="s">
        <v>176</v>
      </c>
      <c r="B120" s="235"/>
      <c r="C120" s="235"/>
      <c r="D120" s="236"/>
      <c r="E120" s="132">
        <f>E121+E131+E136+E145+E151+E161+E168</f>
        <v>123700</v>
      </c>
      <c r="F120" s="132">
        <f t="shared" ref="F120:G120" si="45">F121+F131+F136+F145+F151+F161+F168</f>
        <v>-55000</v>
      </c>
      <c r="G120" s="132">
        <f t="shared" si="45"/>
        <v>68700</v>
      </c>
    </row>
    <row r="121" spans="1:7" x14ac:dyDescent="0.2">
      <c r="A121" s="241" t="s">
        <v>177</v>
      </c>
      <c r="B121" s="242"/>
      <c r="C121" s="242"/>
      <c r="D121" s="242"/>
      <c r="E121" s="327">
        <f t="shared" ref="E121:G121" si="46">E129</f>
        <v>74000</v>
      </c>
      <c r="F121" s="327">
        <f t="shared" si="46"/>
        <v>-51000</v>
      </c>
      <c r="G121" s="327">
        <f t="shared" si="46"/>
        <v>23000</v>
      </c>
    </row>
    <row r="122" spans="1:7" x14ac:dyDescent="0.2">
      <c r="A122" s="271" t="s">
        <v>178</v>
      </c>
      <c r="B122" s="272"/>
      <c r="C122" s="272"/>
      <c r="D122" s="272"/>
      <c r="E122" s="328"/>
      <c r="F122" s="328"/>
      <c r="G122" s="328"/>
    </row>
    <row r="123" spans="1:7" ht="15" customHeight="1" x14ac:dyDescent="0.2">
      <c r="A123" s="113" t="s">
        <v>133</v>
      </c>
      <c r="B123" s="134"/>
      <c r="C123" s="134"/>
      <c r="D123" s="134"/>
      <c r="E123" s="135"/>
      <c r="F123" s="135"/>
      <c r="G123" s="135"/>
    </row>
    <row r="124" spans="1:7" x14ac:dyDescent="0.2">
      <c r="A124" s="231" t="s">
        <v>276</v>
      </c>
      <c r="B124" s="232"/>
      <c r="C124" s="232"/>
      <c r="D124" s="232"/>
      <c r="E124" s="137">
        <f>15000+3000+7200+3000+3000</f>
        <v>31200</v>
      </c>
      <c r="F124" s="137">
        <v>-31200</v>
      </c>
      <c r="G124" s="137">
        <f>E124+F124</f>
        <v>0</v>
      </c>
    </row>
    <row r="125" spans="1:7" x14ac:dyDescent="0.2">
      <c r="A125" s="231" t="s">
        <v>274</v>
      </c>
      <c r="B125" s="232"/>
      <c r="C125" s="232"/>
      <c r="D125" s="232"/>
      <c r="E125" s="137">
        <v>30000</v>
      </c>
      <c r="F125" s="137">
        <v>-7000</v>
      </c>
      <c r="G125" s="137">
        <f t="shared" ref="G125:G128" si="47">E125+F125</f>
        <v>23000</v>
      </c>
    </row>
    <row r="126" spans="1:7" x14ac:dyDescent="0.2">
      <c r="A126" s="231" t="s">
        <v>279</v>
      </c>
      <c r="B126" s="232"/>
      <c r="C126" s="232"/>
      <c r="D126" s="232"/>
      <c r="E126" s="137">
        <v>10000</v>
      </c>
      <c r="F126" s="137">
        <v>-10000</v>
      </c>
      <c r="G126" s="137">
        <f t="shared" si="47"/>
        <v>0</v>
      </c>
    </row>
    <row r="127" spans="1:7" x14ac:dyDescent="0.2">
      <c r="A127" s="231" t="s">
        <v>280</v>
      </c>
      <c r="B127" s="232"/>
      <c r="C127" s="232"/>
      <c r="D127" s="232"/>
      <c r="E127" s="137">
        <v>2800</v>
      </c>
      <c r="F127" s="137">
        <v>-2800</v>
      </c>
      <c r="G127" s="137">
        <f t="shared" si="47"/>
        <v>0</v>
      </c>
    </row>
    <row r="128" spans="1:7" x14ac:dyDescent="0.2">
      <c r="A128" s="231" t="s">
        <v>273</v>
      </c>
      <c r="B128" s="232"/>
      <c r="C128" s="232"/>
      <c r="D128" s="233"/>
      <c r="E128" s="137"/>
      <c r="F128" s="137"/>
      <c r="G128" s="137">
        <f t="shared" si="47"/>
        <v>0</v>
      </c>
    </row>
    <row r="129" spans="1:7" x14ac:dyDescent="0.2">
      <c r="A129" s="248">
        <v>3</v>
      </c>
      <c r="B129" s="249"/>
      <c r="C129" s="250"/>
      <c r="D129" s="119" t="s">
        <v>18</v>
      </c>
      <c r="E129" s="16">
        <f>E130</f>
        <v>74000</v>
      </c>
      <c r="F129" s="16">
        <f t="shared" ref="F129:G129" si="48">F130</f>
        <v>-51000</v>
      </c>
      <c r="G129" s="16">
        <f t="shared" si="48"/>
        <v>23000</v>
      </c>
    </row>
    <row r="130" spans="1:7" x14ac:dyDescent="0.2">
      <c r="A130" s="251">
        <v>32</v>
      </c>
      <c r="B130" s="252"/>
      <c r="C130" s="253"/>
      <c r="D130" s="119" t="s">
        <v>32</v>
      </c>
      <c r="E130" s="98">
        <v>74000</v>
      </c>
      <c r="F130" s="98">
        <v>-51000</v>
      </c>
      <c r="G130" s="98">
        <f>E130+F130</f>
        <v>23000</v>
      </c>
    </row>
    <row r="131" spans="1:7" x14ac:dyDescent="0.2">
      <c r="A131" s="259" t="s">
        <v>179</v>
      </c>
      <c r="B131" s="260"/>
      <c r="C131" s="260"/>
      <c r="D131" s="261"/>
      <c r="E131" s="138">
        <f>E134</f>
        <v>3000</v>
      </c>
      <c r="F131" s="138">
        <f t="shared" ref="F131:G131" si="49">F134</f>
        <v>-2000</v>
      </c>
      <c r="G131" s="138">
        <f t="shared" si="49"/>
        <v>1000</v>
      </c>
    </row>
    <row r="132" spans="1:7" ht="15" customHeight="1" x14ac:dyDescent="0.2">
      <c r="A132" s="113" t="s">
        <v>141</v>
      </c>
      <c r="B132" s="134"/>
      <c r="C132" s="134"/>
      <c r="D132" s="134"/>
      <c r="E132" s="135"/>
      <c r="F132" s="135"/>
      <c r="G132" s="135"/>
    </row>
    <row r="133" spans="1:7" x14ac:dyDescent="0.2">
      <c r="A133" s="231" t="s">
        <v>276</v>
      </c>
      <c r="B133" s="232"/>
      <c r="C133" s="232"/>
      <c r="D133" s="232"/>
      <c r="E133" s="137">
        <v>3000</v>
      </c>
      <c r="F133" s="137">
        <v>-2000</v>
      </c>
      <c r="G133" s="137">
        <f>E133+F133</f>
        <v>1000</v>
      </c>
    </row>
    <row r="134" spans="1:7" x14ac:dyDescent="0.2">
      <c r="A134" s="248">
        <v>3</v>
      </c>
      <c r="B134" s="249"/>
      <c r="C134" s="250"/>
      <c r="D134" s="119" t="s">
        <v>18</v>
      </c>
      <c r="E134" s="98">
        <f>E135</f>
        <v>3000</v>
      </c>
      <c r="F134" s="98">
        <f t="shared" ref="F134:G134" si="50">F135</f>
        <v>-2000</v>
      </c>
      <c r="G134" s="98">
        <f t="shared" si="50"/>
        <v>1000</v>
      </c>
    </row>
    <row r="135" spans="1:7" x14ac:dyDescent="0.2">
      <c r="A135" s="251">
        <v>32</v>
      </c>
      <c r="B135" s="252"/>
      <c r="C135" s="253"/>
      <c r="D135" s="119" t="s">
        <v>32</v>
      </c>
      <c r="E135" s="98">
        <v>3000</v>
      </c>
      <c r="F135" s="98">
        <v>-2000</v>
      </c>
      <c r="G135" s="98">
        <f>E135+F135</f>
        <v>1000</v>
      </c>
    </row>
    <row r="136" spans="1:7" x14ac:dyDescent="0.2">
      <c r="A136" s="259" t="s">
        <v>180</v>
      </c>
      <c r="B136" s="260"/>
      <c r="C136" s="260"/>
      <c r="D136" s="261"/>
      <c r="E136" s="138">
        <f>E143</f>
        <v>22000</v>
      </c>
      <c r="F136" s="138">
        <f t="shared" ref="F136:G136" si="51">F143</f>
        <v>-2000</v>
      </c>
      <c r="G136" s="138">
        <f t="shared" si="51"/>
        <v>20000</v>
      </c>
    </row>
    <row r="137" spans="1:7" ht="15" customHeight="1" x14ac:dyDescent="0.2">
      <c r="A137" s="113" t="s">
        <v>137</v>
      </c>
      <c r="B137" s="134"/>
      <c r="C137" s="134"/>
      <c r="D137" s="134"/>
      <c r="E137" s="135"/>
      <c r="F137" s="135"/>
      <c r="G137" s="135"/>
    </row>
    <row r="138" spans="1:7" ht="12" customHeight="1" x14ac:dyDescent="0.2">
      <c r="A138" s="231" t="s">
        <v>276</v>
      </c>
      <c r="B138" s="232"/>
      <c r="C138" s="232"/>
      <c r="D138" s="232"/>
      <c r="E138" s="136">
        <f>5000+10500+4500</f>
        <v>20000</v>
      </c>
      <c r="F138" s="136">
        <f>G138-E138</f>
        <v>-19000</v>
      </c>
      <c r="G138" s="136">
        <f>300+200+500</f>
        <v>1000</v>
      </c>
    </row>
    <row r="139" spans="1:7" x14ac:dyDescent="0.2">
      <c r="A139" s="231" t="s">
        <v>277</v>
      </c>
      <c r="B139" s="232"/>
      <c r="C139" s="232"/>
      <c r="D139" s="232"/>
      <c r="E139" s="137">
        <v>2000</v>
      </c>
      <c r="F139" s="137">
        <f>G139-E139</f>
        <v>7000</v>
      </c>
      <c r="G139" s="137">
        <f>2000+4000+3000</f>
        <v>9000</v>
      </c>
    </row>
    <row r="140" spans="1:7" x14ac:dyDescent="0.2">
      <c r="A140" s="231" t="s">
        <v>279</v>
      </c>
      <c r="B140" s="232"/>
      <c r="C140" s="232"/>
      <c r="D140" s="232"/>
      <c r="E140" s="137"/>
      <c r="F140" s="137">
        <f>2000</f>
        <v>2000</v>
      </c>
      <c r="G140" s="137">
        <f>E140+F140</f>
        <v>2000</v>
      </c>
    </row>
    <row r="141" spans="1:7" x14ac:dyDescent="0.2">
      <c r="A141" s="231" t="s">
        <v>280</v>
      </c>
      <c r="B141" s="232"/>
      <c r="C141" s="232"/>
      <c r="D141" s="232"/>
      <c r="E141" s="137"/>
      <c r="F141" s="137">
        <f>700+300</f>
        <v>1000</v>
      </c>
      <c r="G141" s="137">
        <f>E141+F141</f>
        <v>1000</v>
      </c>
    </row>
    <row r="142" spans="1:7" x14ac:dyDescent="0.2">
      <c r="A142" s="231" t="s">
        <v>274</v>
      </c>
      <c r="B142" s="232"/>
      <c r="C142" s="232"/>
      <c r="D142" s="232"/>
      <c r="E142" s="137"/>
      <c r="F142" s="137">
        <f>7000</f>
        <v>7000</v>
      </c>
      <c r="G142" s="137">
        <f>E142+F142</f>
        <v>7000</v>
      </c>
    </row>
    <row r="143" spans="1:7" x14ac:dyDescent="0.2">
      <c r="A143" s="248">
        <v>3</v>
      </c>
      <c r="B143" s="249"/>
      <c r="C143" s="250"/>
      <c r="D143" s="119" t="s">
        <v>18</v>
      </c>
      <c r="E143" s="98">
        <f>E144</f>
        <v>22000</v>
      </c>
      <c r="F143" s="98">
        <f>F144</f>
        <v>-2000</v>
      </c>
      <c r="G143" s="98">
        <f>G144</f>
        <v>20000</v>
      </c>
    </row>
    <row r="144" spans="1:7" x14ac:dyDescent="0.2">
      <c r="A144" s="251">
        <v>32</v>
      </c>
      <c r="B144" s="252"/>
      <c r="C144" s="253"/>
      <c r="D144" s="119" t="s">
        <v>32</v>
      </c>
      <c r="E144" s="98">
        <v>22000</v>
      </c>
      <c r="F144" s="98">
        <f>-2000+1000+1000-2000</f>
        <v>-2000</v>
      </c>
      <c r="G144" s="98">
        <f>E144+F144</f>
        <v>20000</v>
      </c>
    </row>
    <row r="145" spans="1:7" ht="25.5" customHeight="1" x14ac:dyDescent="0.2">
      <c r="A145" s="254" t="s">
        <v>181</v>
      </c>
      <c r="B145" s="255"/>
      <c r="C145" s="255"/>
      <c r="D145" s="256"/>
      <c r="E145" s="138">
        <f>E149</f>
        <v>1900</v>
      </c>
      <c r="F145" s="138">
        <f t="shared" ref="F145:G145" si="52">F149</f>
        <v>-1000</v>
      </c>
      <c r="G145" s="138">
        <f t="shared" si="52"/>
        <v>900</v>
      </c>
    </row>
    <row r="146" spans="1:7" ht="15" customHeight="1" x14ac:dyDescent="0.2">
      <c r="A146" s="113" t="s">
        <v>137</v>
      </c>
      <c r="B146" s="134"/>
      <c r="C146" s="134"/>
      <c r="D146" s="134"/>
      <c r="E146" s="135"/>
      <c r="F146" s="135"/>
      <c r="G146" s="135"/>
    </row>
    <row r="147" spans="1:7" x14ac:dyDescent="0.2">
      <c r="A147" s="231" t="s">
        <v>276</v>
      </c>
      <c r="B147" s="232"/>
      <c r="C147" s="232"/>
      <c r="D147" s="232"/>
      <c r="E147" s="137">
        <v>1900</v>
      </c>
      <c r="F147" s="137">
        <f>G147-E147</f>
        <v>-1800</v>
      </c>
      <c r="G147" s="137">
        <v>100</v>
      </c>
    </row>
    <row r="148" spans="1:7" x14ac:dyDescent="0.2">
      <c r="A148" s="231" t="s">
        <v>280</v>
      </c>
      <c r="B148" s="232"/>
      <c r="C148" s="232"/>
      <c r="D148" s="232"/>
      <c r="E148" s="137"/>
      <c r="F148" s="137">
        <v>800</v>
      </c>
      <c r="G148" s="137">
        <f>E148+F148</f>
        <v>800</v>
      </c>
    </row>
    <row r="149" spans="1:7" x14ac:dyDescent="0.2">
      <c r="A149" s="248">
        <v>3</v>
      </c>
      <c r="B149" s="249"/>
      <c r="C149" s="250"/>
      <c r="D149" s="119" t="s">
        <v>18</v>
      </c>
      <c r="E149" s="98">
        <f>E150</f>
        <v>1900</v>
      </c>
      <c r="F149" s="98">
        <f t="shared" ref="F149:G149" si="53">F150</f>
        <v>-1000</v>
      </c>
      <c r="G149" s="98">
        <f t="shared" si="53"/>
        <v>900</v>
      </c>
    </row>
    <row r="150" spans="1:7" x14ac:dyDescent="0.2">
      <c r="A150" s="251">
        <v>32</v>
      </c>
      <c r="B150" s="252"/>
      <c r="C150" s="253"/>
      <c r="D150" s="119" t="s">
        <v>32</v>
      </c>
      <c r="E150" s="98">
        <v>1900</v>
      </c>
      <c r="F150" s="98">
        <v>-1000</v>
      </c>
      <c r="G150" s="98">
        <f>E150+F150</f>
        <v>900</v>
      </c>
    </row>
    <row r="151" spans="1:7" x14ac:dyDescent="0.2">
      <c r="A151" s="152" t="s">
        <v>182</v>
      </c>
      <c r="B151" s="152"/>
      <c r="C151" s="152"/>
      <c r="D151" s="152"/>
      <c r="E151" s="141">
        <f>E159</f>
        <v>3500</v>
      </c>
      <c r="F151" s="141">
        <f t="shared" ref="F151:G151" si="54">F159</f>
        <v>0</v>
      </c>
      <c r="G151" s="141">
        <f t="shared" si="54"/>
        <v>3500</v>
      </c>
    </row>
    <row r="152" spans="1:7" ht="15" customHeight="1" x14ac:dyDescent="0.2">
      <c r="A152" s="113" t="s">
        <v>133</v>
      </c>
      <c r="B152" s="134"/>
      <c r="C152" s="134"/>
      <c r="D152" s="134"/>
      <c r="E152" s="135"/>
      <c r="F152" s="135"/>
      <c r="G152" s="135"/>
    </row>
    <row r="153" spans="1:7" ht="12" customHeight="1" x14ac:dyDescent="0.2">
      <c r="A153" s="231" t="s">
        <v>286</v>
      </c>
      <c r="B153" s="232"/>
      <c r="C153" s="232"/>
      <c r="D153" s="232"/>
      <c r="E153" s="153"/>
      <c r="F153" s="136"/>
      <c r="G153" s="136"/>
    </row>
    <row r="154" spans="1:7" x14ac:dyDescent="0.2">
      <c r="A154" s="231" t="s">
        <v>276</v>
      </c>
      <c r="B154" s="232"/>
      <c r="C154" s="232"/>
      <c r="D154" s="232"/>
      <c r="E154" s="137">
        <v>200</v>
      </c>
      <c r="F154" s="137"/>
      <c r="G154" s="137">
        <v>200</v>
      </c>
    </row>
    <row r="155" spans="1:7" x14ac:dyDescent="0.2">
      <c r="A155" s="231" t="s">
        <v>277</v>
      </c>
      <c r="B155" s="232"/>
      <c r="C155" s="232"/>
      <c r="D155" s="233"/>
      <c r="E155" s="137">
        <v>3000</v>
      </c>
      <c r="F155" s="137"/>
      <c r="G155" s="137">
        <f>3000</f>
        <v>3000</v>
      </c>
    </row>
    <row r="156" spans="1:7" x14ac:dyDescent="0.2">
      <c r="A156" s="231" t="s">
        <v>280</v>
      </c>
      <c r="B156" s="232"/>
      <c r="C156" s="232"/>
      <c r="D156" s="232"/>
      <c r="E156" s="137"/>
      <c r="F156" s="137"/>
      <c r="G156" s="137"/>
    </row>
    <row r="157" spans="1:7" x14ac:dyDescent="0.2">
      <c r="A157" s="231" t="s">
        <v>281</v>
      </c>
      <c r="B157" s="232"/>
      <c r="C157" s="232"/>
      <c r="D157" s="233"/>
      <c r="E157" s="137">
        <v>300</v>
      </c>
      <c r="F157" s="137"/>
      <c r="G157" s="137">
        <v>300</v>
      </c>
    </row>
    <row r="158" spans="1:7" x14ac:dyDescent="0.2">
      <c r="A158" s="231" t="s">
        <v>273</v>
      </c>
      <c r="B158" s="232"/>
      <c r="C158" s="232"/>
      <c r="D158" s="233"/>
      <c r="E158" s="137"/>
      <c r="F158" s="137"/>
      <c r="G158" s="137"/>
    </row>
    <row r="159" spans="1:7" x14ac:dyDescent="0.2">
      <c r="A159" s="248">
        <v>3</v>
      </c>
      <c r="B159" s="249"/>
      <c r="C159" s="250"/>
      <c r="D159" s="119" t="s">
        <v>18</v>
      </c>
      <c r="E159" s="16">
        <f>E160</f>
        <v>3500</v>
      </c>
      <c r="F159" s="16">
        <f t="shared" ref="F159:G159" si="55">F160</f>
        <v>0</v>
      </c>
      <c r="G159" s="16">
        <f t="shared" si="55"/>
        <v>3500</v>
      </c>
    </row>
    <row r="160" spans="1:7" x14ac:dyDescent="0.2">
      <c r="A160" s="251">
        <v>32</v>
      </c>
      <c r="B160" s="252"/>
      <c r="C160" s="253"/>
      <c r="D160" s="119" t="s">
        <v>32</v>
      </c>
      <c r="E160" s="98">
        <v>3500</v>
      </c>
      <c r="F160" s="98"/>
      <c r="G160" s="98">
        <f>E160+F160</f>
        <v>3500</v>
      </c>
    </row>
    <row r="161" spans="1:7" ht="25.5" customHeight="1" x14ac:dyDescent="0.2">
      <c r="A161" s="254" t="s">
        <v>183</v>
      </c>
      <c r="B161" s="255"/>
      <c r="C161" s="255"/>
      <c r="D161" s="256"/>
      <c r="E161" s="112">
        <f t="shared" ref="E161:G161" si="56">E166</f>
        <v>800</v>
      </c>
      <c r="F161" s="112">
        <f t="shared" si="56"/>
        <v>1000</v>
      </c>
      <c r="G161" s="112">
        <f t="shared" si="56"/>
        <v>1800</v>
      </c>
    </row>
    <row r="162" spans="1:7" ht="15" customHeight="1" x14ac:dyDescent="0.2">
      <c r="A162" s="113" t="s">
        <v>133</v>
      </c>
      <c r="B162" s="134"/>
      <c r="C162" s="134"/>
      <c r="D162" s="134"/>
      <c r="E162" s="135"/>
      <c r="F162" s="135"/>
      <c r="G162" s="135"/>
    </row>
    <row r="163" spans="1:7" x14ac:dyDescent="0.2">
      <c r="A163" s="231" t="s">
        <v>276</v>
      </c>
      <c r="B163" s="232"/>
      <c r="C163" s="232"/>
      <c r="D163" s="232"/>
      <c r="E163" s="137">
        <v>600</v>
      </c>
      <c r="F163" s="137"/>
      <c r="G163" s="137">
        <f>E163+F163</f>
        <v>600</v>
      </c>
    </row>
    <row r="164" spans="1:7" x14ac:dyDescent="0.2">
      <c r="A164" s="231" t="s">
        <v>282</v>
      </c>
      <c r="B164" s="232"/>
      <c r="C164" s="232"/>
      <c r="D164" s="233"/>
      <c r="E164" s="137">
        <v>200</v>
      </c>
      <c r="F164" s="137"/>
      <c r="G164" s="137">
        <f>E164+F164</f>
        <v>200</v>
      </c>
    </row>
    <row r="165" spans="1:7" x14ac:dyDescent="0.2">
      <c r="A165" s="231" t="s">
        <v>280</v>
      </c>
      <c r="B165" s="232"/>
      <c r="C165" s="232"/>
      <c r="D165" s="232"/>
      <c r="E165" s="137"/>
      <c r="F165" s="137">
        <v>1000</v>
      </c>
      <c r="G165" s="137">
        <f>E165+F165</f>
        <v>1000</v>
      </c>
    </row>
    <row r="166" spans="1:7" x14ac:dyDescent="0.2">
      <c r="A166" s="248">
        <v>3</v>
      </c>
      <c r="B166" s="249"/>
      <c r="C166" s="250"/>
      <c r="D166" s="119" t="s">
        <v>18</v>
      </c>
      <c r="E166" s="16">
        <f>E167</f>
        <v>800</v>
      </c>
      <c r="F166" s="16">
        <f t="shared" ref="F166:G166" si="57">F167</f>
        <v>1000</v>
      </c>
      <c r="G166" s="16">
        <f t="shared" si="57"/>
        <v>1800</v>
      </c>
    </row>
    <row r="167" spans="1:7" x14ac:dyDescent="0.2">
      <c r="A167" s="251">
        <v>32</v>
      </c>
      <c r="B167" s="252"/>
      <c r="C167" s="253"/>
      <c r="D167" s="119" t="s">
        <v>32</v>
      </c>
      <c r="E167" s="98">
        <v>800</v>
      </c>
      <c r="F167" s="98">
        <v>1000</v>
      </c>
      <c r="G167" s="98">
        <f>E167+F167</f>
        <v>1800</v>
      </c>
    </row>
    <row r="168" spans="1:7" ht="15" customHeight="1" x14ac:dyDescent="0.2">
      <c r="A168" s="254" t="s">
        <v>184</v>
      </c>
      <c r="B168" s="255"/>
      <c r="C168" s="255"/>
      <c r="D168" s="256"/>
      <c r="E168" s="112">
        <f t="shared" ref="E168:G168" si="58">E173</f>
        <v>18500</v>
      </c>
      <c r="F168" s="112">
        <f t="shared" si="58"/>
        <v>0</v>
      </c>
      <c r="G168" s="112">
        <f t="shared" si="58"/>
        <v>18500</v>
      </c>
    </row>
    <row r="169" spans="1:7" ht="15" customHeight="1" x14ac:dyDescent="0.2">
      <c r="A169" s="113" t="s">
        <v>136</v>
      </c>
      <c r="B169" s="134"/>
      <c r="C169" s="134"/>
      <c r="D169" s="134"/>
      <c r="E169" s="135"/>
      <c r="F169" s="135"/>
      <c r="G169" s="135"/>
    </row>
    <row r="170" spans="1:7" x14ac:dyDescent="0.2">
      <c r="A170" s="231" t="s">
        <v>276</v>
      </c>
      <c r="B170" s="232"/>
      <c r="C170" s="232"/>
      <c r="D170" s="232"/>
      <c r="E170" s="137">
        <f>1500+10000</f>
        <v>11500</v>
      </c>
      <c r="F170" s="137">
        <f>G170-E170</f>
        <v>-11000</v>
      </c>
      <c r="G170" s="137">
        <v>500</v>
      </c>
    </row>
    <row r="171" spans="1:7" x14ac:dyDescent="0.2">
      <c r="A171" s="231" t="s">
        <v>283</v>
      </c>
      <c r="B171" s="232"/>
      <c r="C171" s="232"/>
      <c r="D171" s="233"/>
      <c r="E171" s="137">
        <v>7000</v>
      </c>
      <c r="F171" s="137">
        <v>8000</v>
      </c>
      <c r="G171" s="137">
        <f>8000+7000</f>
        <v>15000</v>
      </c>
    </row>
    <row r="172" spans="1:7" x14ac:dyDescent="0.2">
      <c r="A172" s="231" t="s">
        <v>274</v>
      </c>
      <c r="B172" s="232"/>
      <c r="C172" s="232"/>
      <c r="D172" s="233"/>
      <c r="E172" s="137"/>
      <c r="F172" s="137">
        <v>3000</v>
      </c>
      <c r="G172" s="137">
        <f>E172+F172</f>
        <v>3000</v>
      </c>
    </row>
    <row r="173" spans="1:7" x14ac:dyDescent="0.2">
      <c r="A173" s="248">
        <v>3</v>
      </c>
      <c r="B173" s="249"/>
      <c r="C173" s="250"/>
      <c r="D173" s="119" t="s">
        <v>18</v>
      </c>
      <c r="E173" s="98">
        <f>E174</f>
        <v>18500</v>
      </c>
      <c r="F173" s="98">
        <f t="shared" ref="F173:G173" si="59">F174</f>
        <v>0</v>
      </c>
      <c r="G173" s="98">
        <f t="shared" si="59"/>
        <v>18500</v>
      </c>
    </row>
    <row r="174" spans="1:7" x14ac:dyDescent="0.2">
      <c r="A174" s="251">
        <v>32</v>
      </c>
      <c r="B174" s="252"/>
      <c r="C174" s="253"/>
      <c r="D174" s="119" t="s">
        <v>32</v>
      </c>
      <c r="E174" s="98">
        <v>18500</v>
      </c>
      <c r="F174" s="98"/>
      <c r="G174" s="98">
        <f>E174+F174</f>
        <v>18500</v>
      </c>
    </row>
    <row r="175" spans="1:7" x14ac:dyDescent="0.2">
      <c r="A175" s="234" t="s">
        <v>114</v>
      </c>
      <c r="B175" s="235"/>
      <c r="C175" s="235"/>
      <c r="D175" s="236"/>
      <c r="E175" s="132">
        <f>E183+E195+E203+E210+E218+E223+E176+E189</f>
        <v>782750</v>
      </c>
      <c r="F175" s="132">
        <f t="shared" ref="F175:G175" si="60">F183+F195+F203+F210+F218+F223+F176+F189</f>
        <v>-52000</v>
      </c>
      <c r="G175" s="132">
        <f t="shared" si="60"/>
        <v>730750</v>
      </c>
    </row>
    <row r="176" spans="1:7" ht="14.25" customHeight="1" x14ac:dyDescent="0.2">
      <c r="A176" s="258" t="s">
        <v>266</v>
      </c>
      <c r="B176" s="258"/>
      <c r="C176" s="258"/>
      <c r="D176" s="258"/>
      <c r="E176" s="112">
        <f>E181</f>
        <v>40000</v>
      </c>
      <c r="F176" s="112">
        <f t="shared" ref="F176:G176" si="61">F181</f>
        <v>0</v>
      </c>
      <c r="G176" s="112">
        <f t="shared" si="61"/>
        <v>40000</v>
      </c>
    </row>
    <row r="177" spans="1:7" x14ac:dyDescent="0.2">
      <c r="A177" s="154" t="s">
        <v>133</v>
      </c>
      <c r="B177" s="155"/>
      <c r="C177" s="155"/>
      <c r="D177" s="156"/>
      <c r="E177" s="157"/>
      <c r="F177" s="157"/>
      <c r="G177" s="157"/>
    </row>
    <row r="178" spans="1:7" x14ac:dyDescent="0.2">
      <c r="A178" s="231" t="s">
        <v>286</v>
      </c>
      <c r="B178" s="232"/>
      <c r="C178" s="232"/>
      <c r="D178" s="232"/>
      <c r="E178" s="188"/>
      <c r="F178" s="123">
        <v>500</v>
      </c>
      <c r="G178" s="123">
        <v>500</v>
      </c>
    </row>
    <row r="179" spans="1:7" x14ac:dyDescent="0.2">
      <c r="A179" s="231" t="s">
        <v>274</v>
      </c>
      <c r="B179" s="232"/>
      <c r="C179" s="232"/>
      <c r="D179" s="233"/>
      <c r="E179" s="158">
        <v>35000</v>
      </c>
      <c r="F179" s="158">
        <v>-5000</v>
      </c>
      <c r="G179" s="158">
        <v>30000</v>
      </c>
    </row>
    <row r="180" spans="1:7" x14ac:dyDescent="0.2">
      <c r="A180" s="231" t="s">
        <v>273</v>
      </c>
      <c r="B180" s="232"/>
      <c r="C180" s="232"/>
      <c r="D180" s="233"/>
      <c r="E180" s="158">
        <v>5000</v>
      </c>
      <c r="F180" s="158">
        <v>4500</v>
      </c>
      <c r="G180" s="158">
        <f>9500</f>
        <v>9500</v>
      </c>
    </row>
    <row r="181" spans="1:7" ht="24" x14ac:dyDescent="0.2">
      <c r="A181" s="248">
        <v>4</v>
      </c>
      <c r="B181" s="249"/>
      <c r="C181" s="250"/>
      <c r="D181" s="119" t="s">
        <v>5</v>
      </c>
      <c r="E181" s="90">
        <f>E182</f>
        <v>40000</v>
      </c>
      <c r="F181" s="90">
        <f t="shared" ref="F181:G181" si="62">F182</f>
        <v>0</v>
      </c>
      <c r="G181" s="90">
        <f t="shared" si="62"/>
        <v>40000</v>
      </c>
    </row>
    <row r="182" spans="1:7" ht="24" x14ac:dyDescent="0.2">
      <c r="A182" s="251">
        <v>42</v>
      </c>
      <c r="B182" s="252"/>
      <c r="C182" s="253"/>
      <c r="D182" s="119" t="s">
        <v>81</v>
      </c>
      <c r="E182" s="90">
        <v>40000</v>
      </c>
      <c r="F182" s="159"/>
      <c r="G182" s="90">
        <f>E182+F182</f>
        <v>40000</v>
      </c>
    </row>
    <row r="183" spans="1:7" ht="25.5" customHeight="1" x14ac:dyDescent="0.2">
      <c r="A183" s="258" t="s">
        <v>267</v>
      </c>
      <c r="B183" s="258"/>
      <c r="C183" s="258"/>
      <c r="D183" s="258"/>
      <c r="E183" s="141">
        <f t="shared" ref="E183:G183" si="63">E187</f>
        <v>75000</v>
      </c>
      <c r="F183" s="141">
        <f t="shared" si="63"/>
        <v>-25000</v>
      </c>
      <c r="G183" s="141">
        <f t="shared" si="63"/>
        <v>50000</v>
      </c>
    </row>
    <row r="184" spans="1:7" x14ac:dyDescent="0.2">
      <c r="A184" s="113" t="s">
        <v>133</v>
      </c>
      <c r="B184" s="155"/>
      <c r="C184" s="155"/>
      <c r="D184" s="156"/>
      <c r="E184" s="160"/>
      <c r="F184" s="160"/>
      <c r="G184" s="160"/>
    </row>
    <row r="185" spans="1:7" x14ac:dyDescent="0.2">
      <c r="A185" s="231" t="s">
        <v>276</v>
      </c>
      <c r="B185" s="232"/>
      <c r="C185" s="232"/>
      <c r="D185" s="233"/>
      <c r="E185" s="161">
        <v>61000</v>
      </c>
      <c r="F185" s="161">
        <f>G185-E185</f>
        <v>-58000</v>
      </c>
      <c r="G185" s="161">
        <v>3000</v>
      </c>
    </row>
    <row r="186" spans="1:7" x14ac:dyDescent="0.2">
      <c r="A186" s="231" t="s">
        <v>273</v>
      </c>
      <c r="B186" s="232"/>
      <c r="C186" s="232"/>
      <c r="D186" s="233"/>
      <c r="E186" s="137">
        <v>14000</v>
      </c>
      <c r="F186" s="137">
        <f>G186-E186</f>
        <v>33000</v>
      </c>
      <c r="G186" s="137">
        <v>47000</v>
      </c>
    </row>
    <row r="187" spans="1:7" ht="24" x14ac:dyDescent="0.2">
      <c r="A187" s="248">
        <v>4</v>
      </c>
      <c r="B187" s="249"/>
      <c r="C187" s="250"/>
      <c r="D187" s="119" t="s">
        <v>5</v>
      </c>
      <c r="E187" s="98">
        <f>E188</f>
        <v>75000</v>
      </c>
      <c r="F187" s="98">
        <f t="shared" ref="F187:G187" si="64">F188</f>
        <v>-25000</v>
      </c>
      <c r="G187" s="98">
        <f t="shared" si="64"/>
        <v>50000</v>
      </c>
    </row>
    <row r="188" spans="1:7" ht="24" x14ac:dyDescent="0.2">
      <c r="A188" s="162"/>
      <c r="B188" s="163"/>
      <c r="C188" s="163">
        <v>45</v>
      </c>
      <c r="D188" s="164" t="s">
        <v>83</v>
      </c>
      <c r="E188" s="98">
        <v>75000</v>
      </c>
      <c r="F188" s="98">
        <v>-25000</v>
      </c>
      <c r="G188" s="98">
        <f>E188+F188</f>
        <v>50000</v>
      </c>
    </row>
    <row r="189" spans="1:7" x14ac:dyDescent="0.2">
      <c r="A189" s="257" t="s">
        <v>268</v>
      </c>
      <c r="B189" s="257"/>
      <c r="C189" s="257"/>
      <c r="D189" s="257"/>
      <c r="E189" s="165">
        <f>E193</f>
        <v>35000</v>
      </c>
      <c r="F189" s="165">
        <f t="shared" ref="F189:G189" si="65">F193</f>
        <v>-30000</v>
      </c>
      <c r="G189" s="165">
        <f t="shared" si="65"/>
        <v>5000</v>
      </c>
    </row>
    <row r="190" spans="1:7" x14ac:dyDescent="0.2">
      <c r="A190" s="113" t="s">
        <v>133</v>
      </c>
      <c r="B190" s="155"/>
      <c r="C190" s="155"/>
      <c r="D190" s="156"/>
      <c r="E190" s="166"/>
      <c r="F190" s="166"/>
      <c r="G190" s="166"/>
    </row>
    <row r="191" spans="1:7" x14ac:dyDescent="0.2">
      <c r="A191" s="231" t="s">
        <v>276</v>
      </c>
      <c r="B191" s="232"/>
      <c r="C191" s="232"/>
      <c r="D191" s="233"/>
      <c r="E191" s="167">
        <v>30000</v>
      </c>
      <c r="F191" s="167">
        <v>-25000</v>
      </c>
      <c r="G191" s="167">
        <f>E191+F191</f>
        <v>5000</v>
      </c>
    </row>
    <row r="192" spans="1:7" x14ac:dyDescent="0.2">
      <c r="A192" s="231" t="s">
        <v>273</v>
      </c>
      <c r="B192" s="232"/>
      <c r="C192" s="232"/>
      <c r="D192" s="233"/>
      <c r="E192" s="167">
        <v>5000</v>
      </c>
      <c r="F192" s="167">
        <v>-5000</v>
      </c>
      <c r="G192" s="167">
        <f>E192+F192</f>
        <v>0</v>
      </c>
    </row>
    <row r="193" spans="1:7" ht="24" x14ac:dyDescent="0.2">
      <c r="A193" s="248">
        <v>4</v>
      </c>
      <c r="B193" s="249"/>
      <c r="C193" s="250"/>
      <c r="D193" s="119" t="s">
        <v>5</v>
      </c>
      <c r="E193" s="100">
        <f>E194</f>
        <v>35000</v>
      </c>
      <c r="F193" s="100">
        <f t="shared" ref="F193:G193" si="66">F194</f>
        <v>-30000</v>
      </c>
      <c r="G193" s="100">
        <f t="shared" si="66"/>
        <v>5000</v>
      </c>
    </row>
    <row r="194" spans="1:7" ht="24" x14ac:dyDescent="0.2">
      <c r="A194" s="162"/>
      <c r="B194" s="163"/>
      <c r="C194" s="163">
        <v>45</v>
      </c>
      <c r="D194" s="164" t="s">
        <v>83</v>
      </c>
      <c r="E194" s="100">
        <v>35000</v>
      </c>
      <c r="F194" s="100">
        <v>-30000</v>
      </c>
      <c r="G194" s="100">
        <f>E194+F194</f>
        <v>5000</v>
      </c>
    </row>
    <row r="195" spans="1:7" ht="25.5" customHeight="1" x14ac:dyDescent="0.2">
      <c r="A195" s="335" t="s">
        <v>269</v>
      </c>
      <c r="B195" s="336"/>
      <c r="C195" s="336"/>
      <c r="D195" s="337"/>
      <c r="E195" s="237">
        <f>E201</f>
        <v>20000</v>
      </c>
      <c r="F195" s="237">
        <f t="shared" ref="F195:G195" si="67">F201</f>
        <v>0</v>
      </c>
      <c r="G195" s="237">
        <f t="shared" si="67"/>
        <v>20000</v>
      </c>
    </row>
    <row r="196" spans="1:7" ht="0.75" customHeight="1" x14ac:dyDescent="0.2">
      <c r="A196" s="275"/>
      <c r="B196" s="276"/>
      <c r="C196" s="276"/>
      <c r="D196" s="277"/>
      <c r="E196" s="238"/>
      <c r="F196" s="238"/>
      <c r="G196" s="238"/>
    </row>
    <row r="197" spans="1:7" x14ac:dyDescent="0.2">
      <c r="A197" s="113" t="s">
        <v>133</v>
      </c>
      <c r="B197" s="155"/>
      <c r="C197" s="155"/>
      <c r="D197" s="156"/>
      <c r="E197" s="160"/>
      <c r="F197" s="160"/>
      <c r="G197" s="160"/>
    </row>
    <row r="198" spans="1:7" x14ac:dyDescent="0.2">
      <c r="A198" s="231" t="s">
        <v>276</v>
      </c>
      <c r="B198" s="232"/>
      <c r="C198" s="232"/>
      <c r="D198" s="233"/>
      <c r="E198" s="137">
        <v>20000</v>
      </c>
      <c r="F198" s="137">
        <f>G198-E198</f>
        <v>-19500</v>
      </c>
      <c r="G198" s="137">
        <v>500</v>
      </c>
    </row>
    <row r="199" spans="1:7" x14ac:dyDescent="0.2">
      <c r="A199" s="231" t="s">
        <v>274</v>
      </c>
      <c r="B199" s="232"/>
      <c r="C199" s="232"/>
      <c r="D199" s="233"/>
      <c r="E199" s="137"/>
      <c r="F199" s="137">
        <v>15000</v>
      </c>
      <c r="G199" s="137">
        <f>E199+F199</f>
        <v>15000</v>
      </c>
    </row>
    <row r="200" spans="1:7" x14ac:dyDescent="0.2">
      <c r="A200" s="231" t="s">
        <v>273</v>
      </c>
      <c r="B200" s="232"/>
      <c r="C200" s="232"/>
      <c r="D200" s="233"/>
      <c r="E200" s="137"/>
      <c r="F200" s="137">
        <v>4500</v>
      </c>
      <c r="G200" s="137">
        <f>E200+F200</f>
        <v>4500</v>
      </c>
    </row>
    <row r="201" spans="1:7" ht="24" x14ac:dyDescent="0.2">
      <c r="A201" s="248">
        <v>4</v>
      </c>
      <c r="B201" s="249"/>
      <c r="C201" s="250"/>
      <c r="D201" s="119" t="s">
        <v>5</v>
      </c>
      <c r="E201" s="98">
        <f>E202</f>
        <v>20000</v>
      </c>
      <c r="F201" s="98">
        <f t="shared" ref="F201:G201" si="68">F202</f>
        <v>0</v>
      </c>
      <c r="G201" s="98">
        <f t="shared" si="68"/>
        <v>20000</v>
      </c>
    </row>
    <row r="202" spans="1:7" ht="24" x14ac:dyDescent="0.2">
      <c r="A202" s="162"/>
      <c r="B202" s="163"/>
      <c r="C202" s="163">
        <v>45</v>
      </c>
      <c r="D202" s="164" t="s">
        <v>83</v>
      </c>
      <c r="E202" s="98">
        <v>20000</v>
      </c>
      <c r="F202" s="98"/>
      <c r="G202" s="98">
        <f>E202+F202</f>
        <v>20000</v>
      </c>
    </row>
    <row r="203" spans="1:7" ht="25.5" customHeight="1" x14ac:dyDescent="0.2">
      <c r="A203" s="258" t="s">
        <v>272</v>
      </c>
      <c r="B203" s="258"/>
      <c r="C203" s="258"/>
      <c r="D203" s="258"/>
      <c r="E203" s="138">
        <f t="shared" ref="E203:G203" si="69">E208</f>
        <v>160000</v>
      </c>
      <c r="F203" s="138">
        <f t="shared" si="69"/>
        <v>10000</v>
      </c>
      <c r="G203" s="138">
        <f t="shared" si="69"/>
        <v>170000</v>
      </c>
    </row>
    <row r="204" spans="1:7" x14ac:dyDescent="0.2">
      <c r="A204" s="154" t="s">
        <v>133</v>
      </c>
      <c r="B204" s="155"/>
      <c r="C204" s="155"/>
      <c r="D204" s="156"/>
      <c r="E204" s="160"/>
      <c r="F204" s="160"/>
      <c r="G204" s="160"/>
    </row>
    <row r="205" spans="1:7" x14ac:dyDescent="0.2">
      <c r="A205" s="231" t="s">
        <v>276</v>
      </c>
      <c r="B205" s="232"/>
      <c r="C205" s="232"/>
      <c r="D205" s="233"/>
      <c r="E205" s="137">
        <v>40000</v>
      </c>
      <c r="F205" s="137">
        <f>G205-E205</f>
        <v>22000</v>
      </c>
      <c r="G205" s="137">
        <v>62000</v>
      </c>
    </row>
    <row r="206" spans="1:7" x14ac:dyDescent="0.2">
      <c r="A206" s="231" t="s">
        <v>274</v>
      </c>
      <c r="B206" s="232"/>
      <c r="C206" s="232"/>
      <c r="D206" s="233"/>
      <c r="E206" s="137"/>
      <c r="F206" s="137">
        <v>34000</v>
      </c>
      <c r="G206" s="137">
        <f>E206+F206</f>
        <v>34000</v>
      </c>
    </row>
    <row r="207" spans="1:7" x14ac:dyDescent="0.2">
      <c r="A207" s="231" t="s">
        <v>273</v>
      </c>
      <c r="B207" s="232"/>
      <c r="C207" s="232"/>
      <c r="D207" s="233"/>
      <c r="E207" s="137">
        <f>70000+50000</f>
        <v>120000</v>
      </c>
      <c r="F207" s="137">
        <f>G207-E207</f>
        <v>-46000</v>
      </c>
      <c r="G207" s="137">
        <f>58000+16000</f>
        <v>74000</v>
      </c>
    </row>
    <row r="208" spans="1:7" ht="24" x14ac:dyDescent="0.2">
      <c r="A208" s="248">
        <v>4</v>
      </c>
      <c r="B208" s="249"/>
      <c r="C208" s="250"/>
      <c r="D208" s="119" t="s">
        <v>5</v>
      </c>
      <c r="E208" s="98">
        <f>E209</f>
        <v>160000</v>
      </c>
      <c r="F208" s="98">
        <f t="shared" ref="F208:G208" si="70">F209</f>
        <v>10000</v>
      </c>
      <c r="G208" s="98">
        <f t="shared" si="70"/>
        <v>170000</v>
      </c>
    </row>
    <row r="209" spans="1:7" ht="24" x14ac:dyDescent="0.2">
      <c r="A209" s="251">
        <v>42</v>
      </c>
      <c r="B209" s="252"/>
      <c r="C209" s="253"/>
      <c r="D209" s="119" t="s">
        <v>81</v>
      </c>
      <c r="E209" s="98">
        <v>160000</v>
      </c>
      <c r="F209" s="98">
        <v>10000</v>
      </c>
      <c r="G209" s="98">
        <f>E209+F209</f>
        <v>170000</v>
      </c>
    </row>
    <row r="210" spans="1:7" ht="13.5" customHeight="1" x14ac:dyDescent="0.2">
      <c r="A210" s="335" t="s">
        <v>185</v>
      </c>
      <c r="B210" s="336"/>
      <c r="C210" s="336"/>
      <c r="D210" s="337"/>
      <c r="E210" s="237">
        <f>E216</f>
        <v>130000</v>
      </c>
      <c r="F210" s="237">
        <f t="shared" ref="F210:G210" si="71">F216</f>
        <v>0</v>
      </c>
      <c r="G210" s="237">
        <f t="shared" si="71"/>
        <v>130000</v>
      </c>
    </row>
    <row r="211" spans="1:7" ht="10.5" customHeight="1" x14ac:dyDescent="0.2">
      <c r="A211" s="275"/>
      <c r="B211" s="276"/>
      <c r="C211" s="276"/>
      <c r="D211" s="277"/>
      <c r="E211" s="238"/>
      <c r="F211" s="238"/>
      <c r="G211" s="238"/>
    </row>
    <row r="212" spans="1:7" x14ac:dyDescent="0.2">
      <c r="A212" s="154" t="s">
        <v>133</v>
      </c>
      <c r="B212" s="155"/>
      <c r="C212" s="155"/>
      <c r="D212" s="156"/>
      <c r="E212" s="160"/>
      <c r="F212" s="160"/>
      <c r="G212" s="160"/>
    </row>
    <row r="213" spans="1:7" x14ac:dyDescent="0.2">
      <c r="A213" s="231" t="s">
        <v>276</v>
      </c>
      <c r="B213" s="232"/>
      <c r="C213" s="232"/>
      <c r="D213" s="233"/>
      <c r="E213" s="161">
        <v>4000</v>
      </c>
      <c r="F213" s="161">
        <f>G213-E213</f>
        <v>-3400</v>
      </c>
      <c r="G213" s="161">
        <v>600</v>
      </c>
    </row>
    <row r="214" spans="1:7" x14ac:dyDescent="0.2">
      <c r="A214" s="231" t="s">
        <v>274</v>
      </c>
      <c r="B214" s="232"/>
      <c r="C214" s="232"/>
      <c r="D214" s="233"/>
      <c r="E214" s="137">
        <v>50000</v>
      </c>
      <c r="F214" s="137">
        <f>G214-E214</f>
        <v>-22000</v>
      </c>
      <c r="G214" s="137">
        <v>28000</v>
      </c>
    </row>
    <row r="215" spans="1:7" x14ac:dyDescent="0.2">
      <c r="A215" s="231" t="s">
        <v>273</v>
      </c>
      <c r="B215" s="232"/>
      <c r="C215" s="232"/>
      <c r="D215" s="233"/>
      <c r="E215" s="137">
        <f>70000+6000</f>
        <v>76000</v>
      </c>
      <c r="F215" s="137">
        <f>G215-E215</f>
        <v>25400</v>
      </c>
      <c r="G215" s="137">
        <f>55000+46400</f>
        <v>101400</v>
      </c>
    </row>
    <row r="216" spans="1:7" ht="24" x14ac:dyDescent="0.2">
      <c r="A216" s="248">
        <v>4</v>
      </c>
      <c r="B216" s="249"/>
      <c r="C216" s="250"/>
      <c r="D216" s="119" t="s">
        <v>5</v>
      </c>
      <c r="E216" s="98">
        <f>E217</f>
        <v>130000</v>
      </c>
      <c r="F216" s="98">
        <f t="shared" ref="F216:G216" si="72">F217</f>
        <v>0</v>
      </c>
      <c r="G216" s="98">
        <f t="shared" si="72"/>
        <v>130000</v>
      </c>
    </row>
    <row r="217" spans="1:7" ht="24" x14ac:dyDescent="0.2">
      <c r="A217" s="251">
        <v>42</v>
      </c>
      <c r="B217" s="252"/>
      <c r="C217" s="253"/>
      <c r="D217" s="119" t="s">
        <v>81</v>
      </c>
      <c r="E217" s="98">
        <v>130000</v>
      </c>
      <c r="F217" s="98"/>
      <c r="G217" s="98">
        <f>E217+F217</f>
        <v>130000</v>
      </c>
    </row>
    <row r="218" spans="1:7" ht="24.75" customHeight="1" x14ac:dyDescent="0.2">
      <c r="A218" s="258" t="s">
        <v>186</v>
      </c>
      <c r="B218" s="258"/>
      <c r="C218" s="258"/>
      <c r="D218" s="258"/>
      <c r="E218" s="138">
        <f>E221</f>
        <v>315750</v>
      </c>
      <c r="F218" s="138">
        <f t="shared" ref="F218:G218" si="73">F221</f>
        <v>0</v>
      </c>
      <c r="G218" s="138">
        <f t="shared" si="73"/>
        <v>315750</v>
      </c>
    </row>
    <row r="219" spans="1:7" x14ac:dyDescent="0.2">
      <c r="A219" s="154" t="s">
        <v>133</v>
      </c>
      <c r="B219" s="155"/>
      <c r="C219" s="155"/>
      <c r="D219" s="156"/>
      <c r="E219" s="160"/>
      <c r="F219" s="160"/>
      <c r="G219" s="160"/>
    </row>
    <row r="220" spans="1:7" x14ac:dyDescent="0.2">
      <c r="A220" s="231" t="s">
        <v>278</v>
      </c>
      <c r="B220" s="232"/>
      <c r="C220" s="232"/>
      <c r="D220" s="233"/>
      <c r="E220" s="137">
        <f>E218</f>
        <v>315750</v>
      </c>
      <c r="F220" s="137"/>
      <c r="G220" s="137">
        <f>E220+F220</f>
        <v>315750</v>
      </c>
    </row>
    <row r="221" spans="1:7" ht="24" x14ac:dyDescent="0.2">
      <c r="A221" s="248">
        <v>4</v>
      </c>
      <c r="B221" s="249"/>
      <c r="C221" s="250"/>
      <c r="D221" s="119" t="s">
        <v>5</v>
      </c>
      <c r="E221" s="98">
        <f>E222</f>
        <v>315750</v>
      </c>
      <c r="F221" s="98">
        <f t="shared" ref="F221:G221" si="74">F222</f>
        <v>0</v>
      </c>
      <c r="G221" s="98">
        <f t="shared" si="74"/>
        <v>315750</v>
      </c>
    </row>
    <row r="222" spans="1:7" ht="24" x14ac:dyDescent="0.2">
      <c r="A222" s="251">
        <v>42</v>
      </c>
      <c r="B222" s="252"/>
      <c r="C222" s="253"/>
      <c r="D222" s="119" t="s">
        <v>81</v>
      </c>
      <c r="E222" s="98">
        <v>315750</v>
      </c>
      <c r="F222" s="98"/>
      <c r="G222" s="98">
        <f>E222+F222</f>
        <v>315750</v>
      </c>
    </row>
    <row r="223" spans="1:7" ht="25.5" customHeight="1" x14ac:dyDescent="0.2">
      <c r="A223" s="258" t="s">
        <v>261</v>
      </c>
      <c r="B223" s="258"/>
      <c r="C223" s="258"/>
      <c r="D223" s="258"/>
      <c r="E223" s="138">
        <f>E226</f>
        <v>7000</v>
      </c>
      <c r="F223" s="138">
        <f t="shared" ref="F223:G223" si="75">F226</f>
        <v>-7000</v>
      </c>
      <c r="G223" s="138">
        <f t="shared" si="75"/>
        <v>0</v>
      </c>
    </row>
    <row r="224" spans="1:7" x14ac:dyDescent="0.2">
      <c r="A224" s="154" t="s">
        <v>133</v>
      </c>
      <c r="B224" s="155"/>
      <c r="C224" s="155"/>
      <c r="D224" s="156"/>
      <c r="E224" s="160"/>
      <c r="F224" s="160"/>
      <c r="G224" s="160"/>
    </row>
    <row r="225" spans="1:7" x14ac:dyDescent="0.2">
      <c r="A225" s="231" t="s">
        <v>277</v>
      </c>
      <c r="B225" s="232"/>
      <c r="C225" s="232"/>
      <c r="D225" s="233"/>
      <c r="E225" s="137">
        <v>7000</v>
      </c>
      <c r="F225" s="137">
        <v>-7000</v>
      </c>
      <c r="G225" s="137">
        <f>E225+F225</f>
        <v>0</v>
      </c>
    </row>
    <row r="226" spans="1:7" ht="24" x14ac:dyDescent="0.2">
      <c r="A226" s="248">
        <v>4</v>
      </c>
      <c r="B226" s="249"/>
      <c r="C226" s="250"/>
      <c r="D226" s="119" t="s">
        <v>5</v>
      </c>
      <c r="E226" s="98">
        <f>E227</f>
        <v>7000</v>
      </c>
      <c r="F226" s="98">
        <f t="shared" ref="F226:G226" si="76">F227</f>
        <v>-7000</v>
      </c>
      <c r="G226" s="98">
        <f t="shared" si="76"/>
        <v>0</v>
      </c>
    </row>
    <row r="227" spans="1:7" ht="24" x14ac:dyDescent="0.2">
      <c r="A227" s="251">
        <v>42</v>
      </c>
      <c r="B227" s="252"/>
      <c r="C227" s="253"/>
      <c r="D227" s="119" t="s">
        <v>81</v>
      </c>
      <c r="E227" s="98">
        <v>7000</v>
      </c>
      <c r="F227" s="98">
        <v>-7000</v>
      </c>
      <c r="G227" s="98">
        <f>E227+F227</f>
        <v>0</v>
      </c>
    </row>
    <row r="228" spans="1:7" x14ac:dyDescent="0.2">
      <c r="A228" s="244" t="s">
        <v>115</v>
      </c>
      <c r="B228" s="245"/>
      <c r="C228" s="245"/>
      <c r="D228" s="245"/>
      <c r="E228" s="262">
        <f t="shared" ref="E228:G228" si="77">E230</f>
        <v>20000</v>
      </c>
      <c r="F228" s="262">
        <f t="shared" si="77"/>
        <v>-5000</v>
      </c>
      <c r="G228" s="262">
        <f t="shared" si="77"/>
        <v>15000</v>
      </c>
    </row>
    <row r="229" spans="1:7" x14ac:dyDescent="0.2">
      <c r="A229" s="169" t="s">
        <v>71</v>
      </c>
      <c r="B229" s="170"/>
      <c r="C229" s="170"/>
      <c r="D229" s="170"/>
      <c r="E229" s="263"/>
      <c r="F229" s="263"/>
      <c r="G229" s="263"/>
    </row>
    <row r="230" spans="1:7" x14ac:dyDescent="0.2">
      <c r="A230" s="241" t="s">
        <v>187</v>
      </c>
      <c r="B230" s="242"/>
      <c r="C230" s="242"/>
      <c r="D230" s="243"/>
      <c r="E230" s="273">
        <f>E235</f>
        <v>20000</v>
      </c>
      <c r="F230" s="273">
        <f t="shared" ref="F230:G230" si="78">F235</f>
        <v>-5000</v>
      </c>
      <c r="G230" s="273">
        <f t="shared" si="78"/>
        <v>15000</v>
      </c>
    </row>
    <row r="231" spans="1:7" x14ac:dyDescent="0.2">
      <c r="A231" s="271" t="s">
        <v>82</v>
      </c>
      <c r="B231" s="272"/>
      <c r="C231" s="272"/>
      <c r="D231" s="272"/>
      <c r="E231" s="274"/>
      <c r="F231" s="274"/>
      <c r="G231" s="274"/>
    </row>
    <row r="232" spans="1:7" x14ac:dyDescent="0.2">
      <c r="A232" s="154" t="s">
        <v>138</v>
      </c>
      <c r="B232" s="155"/>
      <c r="C232" s="155"/>
      <c r="D232" s="156"/>
      <c r="E232" s="160"/>
      <c r="F232" s="160"/>
      <c r="G232" s="160"/>
    </row>
    <row r="233" spans="1:7" x14ac:dyDescent="0.2">
      <c r="A233" s="231" t="s">
        <v>286</v>
      </c>
      <c r="B233" s="232"/>
      <c r="C233" s="232"/>
      <c r="D233" s="232"/>
      <c r="E233" s="161">
        <v>10000</v>
      </c>
      <c r="F233" s="161">
        <v>-5000</v>
      </c>
      <c r="G233" s="161">
        <f>E233+F233</f>
        <v>5000</v>
      </c>
    </row>
    <row r="234" spans="1:7" x14ac:dyDescent="0.2">
      <c r="A234" s="231" t="s">
        <v>273</v>
      </c>
      <c r="B234" s="232"/>
      <c r="C234" s="232"/>
      <c r="D234" s="233"/>
      <c r="E234" s="137">
        <v>10000</v>
      </c>
      <c r="F234" s="137"/>
      <c r="G234" s="137">
        <f>E234+F234</f>
        <v>10000</v>
      </c>
    </row>
    <row r="235" spans="1:7" ht="24" x14ac:dyDescent="0.2">
      <c r="A235" s="248">
        <v>4</v>
      </c>
      <c r="B235" s="249"/>
      <c r="C235" s="250"/>
      <c r="D235" s="118" t="s">
        <v>5</v>
      </c>
      <c r="E235" s="98">
        <f>E236</f>
        <v>20000</v>
      </c>
      <c r="F235" s="98">
        <f t="shared" ref="F235:G235" si="79">F236</f>
        <v>-5000</v>
      </c>
      <c r="G235" s="98">
        <f t="shared" si="79"/>
        <v>15000</v>
      </c>
    </row>
    <row r="236" spans="1:7" ht="24" x14ac:dyDescent="0.2">
      <c r="A236" s="251">
        <v>42</v>
      </c>
      <c r="B236" s="252"/>
      <c r="C236" s="253"/>
      <c r="D236" s="118" t="s">
        <v>81</v>
      </c>
      <c r="E236" s="98">
        <v>20000</v>
      </c>
      <c r="F236" s="98">
        <v>-5000</v>
      </c>
      <c r="G236" s="98">
        <f>E236+F236</f>
        <v>15000</v>
      </c>
    </row>
    <row r="237" spans="1:7" x14ac:dyDescent="0.2">
      <c r="A237" s="145" t="s">
        <v>116</v>
      </c>
      <c r="B237" s="145"/>
      <c r="C237" s="145"/>
      <c r="D237" s="145"/>
      <c r="E237" s="142">
        <f>E238+E245</f>
        <v>23290</v>
      </c>
      <c r="F237" s="142">
        <f t="shared" ref="F237:G237" si="80">F238+F245</f>
        <v>0</v>
      </c>
      <c r="G237" s="142">
        <f t="shared" si="80"/>
        <v>23290</v>
      </c>
    </row>
    <row r="238" spans="1:7" x14ac:dyDescent="0.2">
      <c r="A238" s="151" t="s">
        <v>188</v>
      </c>
      <c r="B238" s="151"/>
      <c r="C238" s="151"/>
      <c r="D238" s="151"/>
      <c r="E238" s="133">
        <f t="shared" ref="E238:G238" si="81">E242</f>
        <v>14060</v>
      </c>
      <c r="F238" s="133">
        <f t="shared" si="81"/>
        <v>0</v>
      </c>
      <c r="G238" s="133">
        <f t="shared" si="81"/>
        <v>14060</v>
      </c>
    </row>
    <row r="239" spans="1:7" x14ac:dyDescent="0.2">
      <c r="A239" s="154" t="s">
        <v>139</v>
      </c>
      <c r="B239" s="155"/>
      <c r="C239" s="155"/>
      <c r="D239" s="156"/>
      <c r="E239" s="160"/>
      <c r="F239" s="160"/>
      <c r="G239" s="160"/>
    </row>
    <row r="240" spans="1:7" x14ac:dyDescent="0.2">
      <c r="A240" s="231" t="s">
        <v>286</v>
      </c>
      <c r="B240" s="232"/>
      <c r="C240" s="232"/>
      <c r="D240" s="232"/>
      <c r="E240" s="137">
        <v>14060</v>
      </c>
      <c r="F240" s="137"/>
      <c r="G240" s="137">
        <f>E240+F240</f>
        <v>14060</v>
      </c>
    </row>
    <row r="241" spans="1:7" x14ac:dyDescent="0.2">
      <c r="A241" s="231" t="s">
        <v>273</v>
      </c>
      <c r="B241" s="232"/>
      <c r="C241" s="232"/>
      <c r="D241" s="233"/>
      <c r="E241" s="137"/>
      <c r="F241" s="137"/>
      <c r="G241" s="137"/>
    </row>
    <row r="242" spans="1:7" x14ac:dyDescent="0.2">
      <c r="A242" s="248">
        <v>3</v>
      </c>
      <c r="B242" s="249"/>
      <c r="C242" s="250"/>
      <c r="D242" s="119" t="s">
        <v>18</v>
      </c>
      <c r="E242" s="16">
        <f>E243+E244</f>
        <v>14060</v>
      </c>
      <c r="F242" s="16">
        <f t="shared" ref="F242:G242" si="82">F243+F244</f>
        <v>0</v>
      </c>
      <c r="G242" s="16">
        <f t="shared" si="82"/>
        <v>14060</v>
      </c>
    </row>
    <row r="243" spans="1:7" x14ac:dyDescent="0.2">
      <c r="A243" s="251">
        <v>32</v>
      </c>
      <c r="B243" s="252"/>
      <c r="C243" s="253"/>
      <c r="D243" s="119" t="s">
        <v>32</v>
      </c>
      <c r="E243" s="98">
        <v>11660</v>
      </c>
      <c r="F243" s="98">
        <f>2400</f>
        <v>2400</v>
      </c>
      <c r="G243" s="98">
        <f>E243+F243</f>
        <v>14060</v>
      </c>
    </row>
    <row r="244" spans="1:7" ht="24" x14ac:dyDescent="0.2">
      <c r="A244" s="294">
        <v>36</v>
      </c>
      <c r="B244" s="295"/>
      <c r="C244" s="296"/>
      <c r="D244" s="118" t="s">
        <v>47</v>
      </c>
      <c r="E244" s="98">
        <v>2400</v>
      </c>
      <c r="F244" s="98">
        <v>-2400</v>
      </c>
      <c r="G244" s="98">
        <f>E244+F244</f>
        <v>0</v>
      </c>
    </row>
    <row r="245" spans="1:7" ht="24.75" customHeight="1" x14ac:dyDescent="0.2">
      <c r="A245" s="254" t="s">
        <v>189</v>
      </c>
      <c r="B245" s="255"/>
      <c r="C245" s="255"/>
      <c r="D245" s="256"/>
      <c r="E245" s="112">
        <f>E248</f>
        <v>9230</v>
      </c>
      <c r="F245" s="112">
        <f t="shared" ref="F245:G245" si="83">F248</f>
        <v>0</v>
      </c>
      <c r="G245" s="112">
        <f t="shared" si="83"/>
        <v>9230</v>
      </c>
    </row>
    <row r="246" spans="1:7" x14ac:dyDescent="0.2">
      <c r="A246" s="154" t="s">
        <v>140</v>
      </c>
      <c r="B246" s="155"/>
      <c r="C246" s="155"/>
      <c r="D246" s="156"/>
      <c r="E246" s="160"/>
      <c r="F246" s="160"/>
      <c r="G246" s="160"/>
    </row>
    <row r="247" spans="1:7" x14ac:dyDescent="0.2">
      <c r="A247" s="231" t="s">
        <v>286</v>
      </c>
      <c r="B247" s="232"/>
      <c r="C247" s="232"/>
      <c r="D247" s="232"/>
      <c r="E247" s="137">
        <v>9230</v>
      </c>
      <c r="F247" s="137"/>
      <c r="G247" s="137">
        <f>E247+F247</f>
        <v>9230</v>
      </c>
    </row>
    <row r="248" spans="1:7" x14ac:dyDescent="0.2">
      <c r="A248" s="248">
        <v>3</v>
      </c>
      <c r="B248" s="249"/>
      <c r="C248" s="250"/>
      <c r="D248" s="119" t="s">
        <v>18</v>
      </c>
      <c r="E248" s="16">
        <f>E249</f>
        <v>9230</v>
      </c>
      <c r="F248" s="16">
        <f t="shared" ref="F248:G248" si="84">F249</f>
        <v>0</v>
      </c>
      <c r="G248" s="16">
        <f t="shared" si="84"/>
        <v>9230</v>
      </c>
    </row>
    <row r="249" spans="1:7" x14ac:dyDescent="0.2">
      <c r="A249" s="251">
        <v>32</v>
      </c>
      <c r="B249" s="252"/>
      <c r="C249" s="253"/>
      <c r="D249" s="119" t="s">
        <v>32</v>
      </c>
      <c r="E249" s="98">
        <v>9230</v>
      </c>
      <c r="F249" s="98"/>
      <c r="G249" s="98">
        <f>E249+F249</f>
        <v>9230</v>
      </c>
    </row>
    <row r="250" spans="1:7" x14ac:dyDescent="0.2">
      <c r="A250" s="145" t="s">
        <v>117</v>
      </c>
      <c r="B250" s="145"/>
      <c r="C250" s="145"/>
      <c r="D250" s="145"/>
      <c r="E250" s="171">
        <f t="shared" ref="E250:G250" si="85">E251</f>
        <v>15700</v>
      </c>
      <c r="F250" s="171">
        <f t="shared" si="85"/>
        <v>700</v>
      </c>
      <c r="G250" s="171">
        <f t="shared" si="85"/>
        <v>16400</v>
      </c>
    </row>
    <row r="251" spans="1:7" x14ac:dyDescent="0.2">
      <c r="A251" s="151" t="s">
        <v>190</v>
      </c>
      <c r="B251" s="151"/>
      <c r="C251" s="151"/>
      <c r="D251" s="151"/>
      <c r="E251" s="172">
        <f t="shared" ref="E251:G251" si="86">E254</f>
        <v>15700</v>
      </c>
      <c r="F251" s="172">
        <f t="shared" si="86"/>
        <v>700</v>
      </c>
      <c r="G251" s="172">
        <f t="shared" si="86"/>
        <v>16400</v>
      </c>
    </row>
    <row r="252" spans="1:7" x14ac:dyDescent="0.2">
      <c r="A252" s="278" t="s">
        <v>142</v>
      </c>
      <c r="B252" s="279"/>
      <c r="C252" s="279"/>
      <c r="D252" s="279"/>
      <c r="E252" s="279"/>
      <c r="F252" s="279"/>
      <c r="G252" s="280"/>
    </row>
    <row r="253" spans="1:7" x14ac:dyDescent="0.2">
      <c r="A253" s="231" t="s">
        <v>286</v>
      </c>
      <c r="B253" s="232"/>
      <c r="C253" s="232"/>
      <c r="D253" s="232"/>
      <c r="E253" s="137">
        <v>15700</v>
      </c>
      <c r="F253" s="137">
        <v>700</v>
      </c>
      <c r="G253" s="137">
        <f>E253+F253</f>
        <v>16400</v>
      </c>
    </row>
    <row r="254" spans="1:7" x14ac:dyDescent="0.2">
      <c r="A254" s="248">
        <v>3</v>
      </c>
      <c r="B254" s="249"/>
      <c r="C254" s="250"/>
      <c r="D254" s="118" t="s">
        <v>18</v>
      </c>
      <c r="E254" s="16">
        <f>E255+E256</f>
        <v>15700</v>
      </c>
      <c r="F254" s="16">
        <f t="shared" ref="F254:G254" si="87">F255+F256</f>
        <v>700</v>
      </c>
      <c r="G254" s="16">
        <f t="shared" si="87"/>
        <v>16400</v>
      </c>
    </row>
    <row r="255" spans="1:7" x14ac:dyDescent="0.2">
      <c r="A255" s="251">
        <v>32</v>
      </c>
      <c r="B255" s="252"/>
      <c r="C255" s="253"/>
      <c r="D255" s="118" t="s">
        <v>32</v>
      </c>
      <c r="E255" s="98">
        <v>15400</v>
      </c>
      <c r="F255" s="98">
        <f>500-1000+1000</f>
        <v>500</v>
      </c>
      <c r="G255" s="98">
        <f>E255+F255</f>
        <v>15900</v>
      </c>
    </row>
    <row r="256" spans="1:7" x14ac:dyDescent="0.2">
      <c r="A256" s="251">
        <v>35</v>
      </c>
      <c r="B256" s="252"/>
      <c r="C256" s="253"/>
      <c r="D256" s="118" t="s">
        <v>46</v>
      </c>
      <c r="E256" s="98">
        <v>300</v>
      </c>
      <c r="F256" s="98">
        <v>200</v>
      </c>
      <c r="G256" s="98">
        <f>E256+F256</f>
        <v>500</v>
      </c>
    </row>
    <row r="257" spans="1:7" x14ac:dyDescent="0.2">
      <c r="A257" s="234" t="s">
        <v>118</v>
      </c>
      <c r="B257" s="235"/>
      <c r="C257" s="235"/>
      <c r="D257" s="236"/>
      <c r="E257" s="132">
        <f>E258+E263+E273+E278</f>
        <v>77500</v>
      </c>
      <c r="F257" s="132">
        <f t="shared" ref="F257:G257" si="88">F258+F263+F273+F278</f>
        <v>-11800</v>
      </c>
      <c r="G257" s="132">
        <f t="shared" si="88"/>
        <v>65700</v>
      </c>
    </row>
    <row r="258" spans="1:7" ht="24.75" customHeight="1" x14ac:dyDescent="0.2">
      <c r="A258" s="254" t="s">
        <v>191</v>
      </c>
      <c r="B258" s="255"/>
      <c r="C258" s="255"/>
      <c r="D258" s="256"/>
      <c r="E258" s="112">
        <f>E261</f>
        <v>25000</v>
      </c>
      <c r="F258" s="112">
        <f t="shared" ref="F258:G258" si="89">F261</f>
        <v>-20000</v>
      </c>
      <c r="G258" s="112">
        <f t="shared" si="89"/>
        <v>5000</v>
      </c>
    </row>
    <row r="259" spans="1:7" x14ac:dyDescent="0.2">
      <c r="A259" s="154" t="s">
        <v>133</v>
      </c>
      <c r="B259" s="155"/>
      <c r="C259" s="155"/>
      <c r="D259" s="156"/>
      <c r="E259" s="160"/>
      <c r="F259" s="160"/>
      <c r="G259" s="160"/>
    </row>
    <row r="260" spans="1:7" x14ac:dyDescent="0.2">
      <c r="A260" s="231" t="s">
        <v>286</v>
      </c>
      <c r="B260" s="232"/>
      <c r="C260" s="232"/>
      <c r="D260" s="232"/>
      <c r="E260" s="173">
        <v>25000</v>
      </c>
      <c r="F260" s="173">
        <v>-20000</v>
      </c>
      <c r="G260" s="173">
        <f>E260+F260</f>
        <v>5000</v>
      </c>
    </row>
    <row r="261" spans="1:7" ht="24" x14ac:dyDescent="0.2">
      <c r="A261" s="248">
        <v>4</v>
      </c>
      <c r="B261" s="249"/>
      <c r="C261" s="250"/>
      <c r="D261" s="118" t="s">
        <v>5</v>
      </c>
      <c r="E261" s="99">
        <f>E262</f>
        <v>25000</v>
      </c>
      <c r="F261" s="99">
        <f t="shared" ref="F261:G261" si="90">F262</f>
        <v>-20000</v>
      </c>
      <c r="G261" s="99">
        <f t="shared" si="90"/>
        <v>5000</v>
      </c>
    </row>
    <row r="262" spans="1:7" ht="24" x14ac:dyDescent="0.2">
      <c r="A262" s="251">
        <v>42</v>
      </c>
      <c r="B262" s="252"/>
      <c r="C262" s="253"/>
      <c r="D262" s="118" t="s">
        <v>81</v>
      </c>
      <c r="E262" s="99">
        <v>25000</v>
      </c>
      <c r="F262" s="99">
        <v>-20000</v>
      </c>
      <c r="G262" s="99">
        <f>E262+F262</f>
        <v>5000</v>
      </c>
    </row>
    <row r="263" spans="1:7" ht="9.75" customHeight="1" x14ac:dyDescent="0.2">
      <c r="A263" s="281" t="s">
        <v>192</v>
      </c>
      <c r="B263" s="282"/>
      <c r="C263" s="282"/>
      <c r="D263" s="283"/>
      <c r="E263" s="237">
        <f t="shared" ref="E263:G263" si="91">E269+E271</f>
        <v>14500</v>
      </c>
      <c r="F263" s="237">
        <f t="shared" si="91"/>
        <v>200</v>
      </c>
      <c r="G263" s="237">
        <f t="shared" si="91"/>
        <v>14700</v>
      </c>
    </row>
    <row r="264" spans="1:7" ht="7.5" customHeight="1" x14ac:dyDescent="0.2">
      <c r="A264" s="284"/>
      <c r="B264" s="285"/>
      <c r="C264" s="285"/>
      <c r="D264" s="286"/>
      <c r="E264" s="264"/>
      <c r="F264" s="264"/>
      <c r="G264" s="264"/>
    </row>
    <row r="265" spans="1:7" ht="8.25" customHeight="1" x14ac:dyDescent="0.2">
      <c r="A265" s="287"/>
      <c r="B265" s="288"/>
      <c r="C265" s="288"/>
      <c r="D265" s="289"/>
      <c r="E265" s="238"/>
      <c r="F265" s="238"/>
      <c r="G265" s="238"/>
    </row>
    <row r="266" spans="1:7" x14ac:dyDescent="0.2">
      <c r="A266" s="154" t="s">
        <v>133</v>
      </c>
      <c r="B266" s="155"/>
      <c r="C266" s="155"/>
      <c r="D266" s="156"/>
      <c r="E266" s="160"/>
      <c r="F266" s="160"/>
      <c r="G266" s="160"/>
    </row>
    <row r="267" spans="1:7" x14ac:dyDescent="0.2">
      <c r="A267" s="231" t="s">
        <v>286</v>
      </c>
      <c r="B267" s="232"/>
      <c r="C267" s="232"/>
      <c r="D267" s="232"/>
      <c r="E267" s="137">
        <v>2500</v>
      </c>
      <c r="F267" s="137">
        <v>200</v>
      </c>
      <c r="G267" s="137">
        <f>E267+F267</f>
        <v>2700</v>
      </c>
    </row>
    <row r="268" spans="1:7" x14ac:dyDescent="0.2">
      <c r="A268" s="231" t="s">
        <v>273</v>
      </c>
      <c r="B268" s="232"/>
      <c r="C268" s="232"/>
      <c r="D268" s="233"/>
      <c r="E268" s="137">
        <v>12000</v>
      </c>
      <c r="F268" s="137"/>
      <c r="G268" s="137">
        <f>E268+F268</f>
        <v>12000</v>
      </c>
    </row>
    <row r="269" spans="1:7" x14ac:dyDescent="0.2">
      <c r="A269" s="248">
        <v>3</v>
      </c>
      <c r="B269" s="249"/>
      <c r="C269" s="250"/>
      <c r="D269" s="118" t="s">
        <v>18</v>
      </c>
      <c r="E269" s="16">
        <f>E270</f>
        <v>2500</v>
      </c>
      <c r="F269" s="16">
        <f t="shared" ref="F269:G269" si="92">F270</f>
        <v>200</v>
      </c>
      <c r="G269" s="16">
        <f t="shared" si="92"/>
        <v>2700</v>
      </c>
    </row>
    <row r="270" spans="1:7" x14ac:dyDescent="0.2">
      <c r="A270" s="251">
        <v>32</v>
      </c>
      <c r="B270" s="252"/>
      <c r="C270" s="253"/>
      <c r="D270" s="118" t="s">
        <v>32</v>
      </c>
      <c r="E270" s="98">
        <v>2500</v>
      </c>
      <c r="F270" s="98">
        <v>200</v>
      </c>
      <c r="G270" s="98">
        <f>E270+F270</f>
        <v>2700</v>
      </c>
    </row>
    <row r="271" spans="1:7" ht="24" x14ac:dyDescent="0.2">
      <c r="A271" s="248">
        <v>4</v>
      </c>
      <c r="B271" s="249"/>
      <c r="C271" s="250"/>
      <c r="D271" s="118" t="s">
        <v>5</v>
      </c>
      <c r="E271" s="98">
        <f>E272</f>
        <v>12000</v>
      </c>
      <c r="F271" s="98">
        <f t="shared" ref="F271:G271" si="93">F272</f>
        <v>0</v>
      </c>
      <c r="G271" s="98">
        <f t="shared" si="93"/>
        <v>12000</v>
      </c>
    </row>
    <row r="272" spans="1:7" ht="24" x14ac:dyDescent="0.2">
      <c r="A272" s="162"/>
      <c r="B272" s="163"/>
      <c r="C272" s="163">
        <v>45</v>
      </c>
      <c r="D272" s="164" t="s">
        <v>83</v>
      </c>
      <c r="E272" s="98">
        <v>12000</v>
      </c>
      <c r="F272" s="98"/>
      <c r="G272" s="98">
        <f>E272+F272</f>
        <v>12000</v>
      </c>
    </row>
    <row r="273" spans="1:7" ht="26.25" customHeight="1" x14ac:dyDescent="0.2">
      <c r="A273" s="254" t="s">
        <v>264</v>
      </c>
      <c r="B273" s="255"/>
      <c r="C273" s="255"/>
      <c r="D273" s="256"/>
      <c r="E273" s="138">
        <f>E276</f>
        <v>8000</v>
      </c>
      <c r="F273" s="138">
        <f>F276</f>
        <v>3000</v>
      </c>
      <c r="G273" s="138">
        <f>G276</f>
        <v>11000</v>
      </c>
    </row>
    <row r="274" spans="1:7" x14ac:dyDescent="0.2">
      <c r="A274" s="154" t="s">
        <v>133</v>
      </c>
      <c r="B274" s="155"/>
      <c r="C274" s="155"/>
      <c r="D274" s="156"/>
      <c r="E274" s="160"/>
      <c r="F274" s="160"/>
      <c r="G274" s="160"/>
    </row>
    <row r="275" spans="1:7" x14ac:dyDescent="0.2">
      <c r="A275" s="231" t="s">
        <v>286</v>
      </c>
      <c r="B275" s="232"/>
      <c r="C275" s="232"/>
      <c r="D275" s="232"/>
      <c r="E275" s="137">
        <v>8000</v>
      </c>
      <c r="F275" s="137">
        <v>3000</v>
      </c>
      <c r="G275" s="137">
        <f>E275+F275</f>
        <v>11000</v>
      </c>
    </row>
    <row r="276" spans="1:7" x14ac:dyDescent="0.2">
      <c r="A276" s="248">
        <v>3</v>
      </c>
      <c r="B276" s="249"/>
      <c r="C276" s="250"/>
      <c r="D276" s="118" t="s">
        <v>18</v>
      </c>
      <c r="E276" s="98">
        <f>E277</f>
        <v>8000</v>
      </c>
      <c r="F276" s="98">
        <f t="shared" ref="F276:G276" si="94">F277</f>
        <v>3000</v>
      </c>
      <c r="G276" s="98">
        <f t="shared" si="94"/>
        <v>11000</v>
      </c>
    </row>
    <row r="277" spans="1:7" x14ac:dyDescent="0.2">
      <c r="A277" s="251">
        <v>32</v>
      </c>
      <c r="B277" s="252"/>
      <c r="C277" s="253"/>
      <c r="D277" s="118" t="s">
        <v>32</v>
      </c>
      <c r="E277" s="98">
        <v>8000</v>
      </c>
      <c r="F277" s="98">
        <f>2000+1000</f>
        <v>3000</v>
      </c>
      <c r="G277" s="98">
        <f>E277+F277</f>
        <v>11000</v>
      </c>
    </row>
    <row r="278" spans="1:7" ht="14.25" customHeight="1" x14ac:dyDescent="0.2">
      <c r="A278" s="275" t="s">
        <v>270</v>
      </c>
      <c r="B278" s="276"/>
      <c r="C278" s="276"/>
      <c r="D278" s="277"/>
      <c r="E278" s="168">
        <f>E282</f>
        <v>30000</v>
      </c>
      <c r="F278" s="168">
        <f t="shared" ref="F278:G278" si="95">F282</f>
        <v>5000</v>
      </c>
      <c r="G278" s="168">
        <f t="shared" si="95"/>
        <v>35000</v>
      </c>
    </row>
    <row r="279" spans="1:7" x14ac:dyDescent="0.2">
      <c r="A279" s="154" t="s">
        <v>133</v>
      </c>
      <c r="B279" s="155"/>
      <c r="C279" s="155"/>
      <c r="D279" s="156"/>
      <c r="E279" s="160"/>
      <c r="F279" s="160"/>
      <c r="G279" s="160"/>
    </row>
    <row r="280" spans="1:7" x14ac:dyDescent="0.2">
      <c r="A280" s="231" t="s">
        <v>273</v>
      </c>
      <c r="B280" s="232"/>
      <c r="C280" s="232"/>
      <c r="D280" s="233"/>
      <c r="E280" s="137">
        <v>30000</v>
      </c>
      <c r="F280" s="137">
        <v>-1700</v>
      </c>
      <c r="G280" s="137">
        <f>E280+F280</f>
        <v>28300</v>
      </c>
    </row>
    <row r="281" spans="1:7" x14ac:dyDescent="0.2">
      <c r="A281" s="231" t="s">
        <v>286</v>
      </c>
      <c r="B281" s="232"/>
      <c r="C281" s="232"/>
      <c r="D281" s="232"/>
      <c r="E281" s="137"/>
      <c r="F281" s="137">
        <v>6700</v>
      </c>
      <c r="G281" s="137">
        <f>G278-G280</f>
        <v>6700</v>
      </c>
    </row>
    <row r="282" spans="1:7" ht="24" x14ac:dyDescent="0.2">
      <c r="A282" s="248">
        <v>4</v>
      </c>
      <c r="B282" s="249"/>
      <c r="C282" s="250"/>
      <c r="D282" s="118" t="s">
        <v>5</v>
      </c>
      <c r="E282" s="98">
        <f>E283</f>
        <v>30000</v>
      </c>
      <c r="F282" s="98">
        <f t="shared" ref="F282:G282" si="96">F283</f>
        <v>5000</v>
      </c>
      <c r="G282" s="98">
        <f t="shared" si="96"/>
        <v>35000</v>
      </c>
    </row>
    <row r="283" spans="1:7" ht="24" x14ac:dyDescent="0.2">
      <c r="A283" s="251">
        <v>45</v>
      </c>
      <c r="B283" s="252"/>
      <c r="C283" s="253"/>
      <c r="D283" s="174" t="s">
        <v>83</v>
      </c>
      <c r="E283" s="98">
        <v>30000</v>
      </c>
      <c r="F283" s="98">
        <v>5000</v>
      </c>
      <c r="G283" s="98">
        <f>E283+F283</f>
        <v>35000</v>
      </c>
    </row>
    <row r="284" spans="1:7" x14ac:dyDescent="0.2">
      <c r="A284" s="234" t="s">
        <v>119</v>
      </c>
      <c r="B284" s="235"/>
      <c r="C284" s="235"/>
      <c r="D284" s="236"/>
      <c r="E284" s="111">
        <f t="shared" ref="E284:G284" si="97">E285</f>
        <v>104000</v>
      </c>
      <c r="F284" s="111">
        <f t="shared" si="97"/>
        <v>2000</v>
      </c>
      <c r="G284" s="111">
        <f t="shared" si="97"/>
        <v>106000</v>
      </c>
    </row>
    <row r="285" spans="1:7" ht="24.75" customHeight="1" x14ac:dyDescent="0.2">
      <c r="A285" s="254" t="s">
        <v>193</v>
      </c>
      <c r="B285" s="255"/>
      <c r="C285" s="255"/>
      <c r="D285" s="256"/>
      <c r="E285" s="138">
        <f>E289+E291</f>
        <v>104000</v>
      </c>
      <c r="F285" s="138">
        <f t="shared" ref="F285:G285" si="98">F289+F291</f>
        <v>2000</v>
      </c>
      <c r="G285" s="138">
        <f t="shared" si="98"/>
        <v>106000</v>
      </c>
    </row>
    <row r="286" spans="1:7" x14ac:dyDescent="0.2">
      <c r="A286" s="154" t="s">
        <v>133</v>
      </c>
      <c r="B286" s="155"/>
      <c r="C286" s="155"/>
      <c r="D286" s="156"/>
      <c r="E286" s="160"/>
      <c r="F286" s="160"/>
      <c r="G286" s="160"/>
    </row>
    <row r="287" spans="1:7" x14ac:dyDescent="0.2">
      <c r="A287" s="231" t="s">
        <v>286</v>
      </c>
      <c r="B287" s="232"/>
      <c r="C287" s="232"/>
      <c r="D287" s="232"/>
      <c r="E287" s="137">
        <v>4000</v>
      </c>
      <c r="F287" s="137">
        <v>2000</v>
      </c>
      <c r="G287" s="137">
        <f>E287+F287</f>
        <v>6000</v>
      </c>
    </row>
    <row r="288" spans="1:7" x14ac:dyDescent="0.2">
      <c r="A288" s="231" t="s">
        <v>273</v>
      </c>
      <c r="B288" s="232"/>
      <c r="C288" s="232"/>
      <c r="D288" s="233"/>
      <c r="E288" s="137">
        <v>100000</v>
      </c>
      <c r="F288" s="137"/>
      <c r="G288" s="137">
        <f>E288+F288</f>
        <v>100000</v>
      </c>
    </row>
    <row r="289" spans="1:7" ht="24" x14ac:dyDescent="0.2">
      <c r="A289" s="248">
        <v>4</v>
      </c>
      <c r="B289" s="249"/>
      <c r="C289" s="250"/>
      <c r="D289" s="118" t="s">
        <v>5</v>
      </c>
      <c r="E289" s="98">
        <f>E290</f>
        <v>100000</v>
      </c>
      <c r="F289" s="98">
        <f t="shared" ref="F289:G289" si="99">F290</f>
        <v>0</v>
      </c>
      <c r="G289" s="98">
        <f t="shared" si="99"/>
        <v>100000</v>
      </c>
    </row>
    <row r="290" spans="1:7" ht="24" x14ac:dyDescent="0.2">
      <c r="A290" s="251">
        <v>42</v>
      </c>
      <c r="B290" s="252"/>
      <c r="C290" s="253"/>
      <c r="D290" s="118" t="s">
        <v>81</v>
      </c>
      <c r="E290" s="98">
        <v>100000</v>
      </c>
      <c r="F290" s="98"/>
      <c r="G290" s="98">
        <f>E290+F290</f>
        <v>100000</v>
      </c>
    </row>
    <row r="291" spans="1:7" x14ac:dyDescent="0.2">
      <c r="A291" s="248">
        <v>3</v>
      </c>
      <c r="B291" s="249"/>
      <c r="C291" s="250"/>
      <c r="D291" s="118" t="s">
        <v>18</v>
      </c>
      <c r="E291" s="98">
        <f>E292+E293</f>
        <v>4000</v>
      </c>
      <c r="F291" s="98">
        <f t="shared" ref="F291:G291" si="100">F292+F293</f>
        <v>2000</v>
      </c>
      <c r="G291" s="98">
        <f t="shared" si="100"/>
        <v>6000</v>
      </c>
    </row>
    <row r="292" spans="1:7" x14ac:dyDescent="0.2">
      <c r="A292" s="251">
        <v>32</v>
      </c>
      <c r="B292" s="252"/>
      <c r="C292" s="253"/>
      <c r="D292" s="118" t="s">
        <v>32</v>
      </c>
      <c r="E292" s="98">
        <v>2000</v>
      </c>
      <c r="F292" s="98"/>
      <c r="G292" s="98">
        <f>E292+F292</f>
        <v>2000</v>
      </c>
    </row>
    <row r="293" spans="1:7" x14ac:dyDescent="0.2">
      <c r="A293" s="120"/>
      <c r="B293" s="121"/>
      <c r="C293" s="122">
        <v>38</v>
      </c>
      <c r="D293" s="118" t="s">
        <v>49</v>
      </c>
      <c r="E293" s="98">
        <v>2000</v>
      </c>
      <c r="F293" s="98">
        <v>2000</v>
      </c>
      <c r="G293" s="98">
        <f>E293+F293</f>
        <v>4000</v>
      </c>
    </row>
    <row r="294" spans="1:7" x14ac:dyDescent="0.2">
      <c r="A294" s="131" t="s">
        <v>72</v>
      </c>
      <c r="B294" s="131"/>
      <c r="C294" s="131"/>
      <c r="D294" s="131"/>
      <c r="E294" s="106">
        <f>E298+E310+E324+E331</f>
        <v>370766</v>
      </c>
      <c r="F294" s="106">
        <f t="shared" ref="F294:G294" si="101">F298+F310+F324+F331</f>
        <v>-2100</v>
      </c>
      <c r="G294" s="106">
        <f t="shared" si="101"/>
        <v>368666</v>
      </c>
    </row>
    <row r="295" spans="1:7" x14ac:dyDescent="0.2">
      <c r="A295" s="87" t="s">
        <v>287</v>
      </c>
      <c r="B295" s="107"/>
      <c r="C295" s="107"/>
      <c r="D295" s="108"/>
      <c r="E295" s="109">
        <f>E314+E321+E328+E334</f>
        <v>23000</v>
      </c>
      <c r="F295" s="109">
        <f>F314+F334</f>
        <v>-2100</v>
      </c>
      <c r="G295" s="109">
        <f>E295+F295</f>
        <v>20900</v>
      </c>
    </row>
    <row r="296" spans="1:7" x14ac:dyDescent="0.2">
      <c r="A296" s="87" t="s">
        <v>290</v>
      </c>
      <c r="B296" s="107"/>
      <c r="C296" s="107"/>
      <c r="D296" s="108"/>
      <c r="E296" s="109">
        <f>E302</f>
        <v>43508</v>
      </c>
      <c r="F296" s="109"/>
      <c r="G296" s="109">
        <f t="shared" ref="G296:G297" si="102">E296+F296</f>
        <v>43508</v>
      </c>
    </row>
    <row r="297" spans="1:7" x14ac:dyDescent="0.2">
      <c r="A297" s="87" t="s">
        <v>288</v>
      </c>
      <c r="B297" s="107"/>
      <c r="C297" s="107"/>
      <c r="D297" s="108"/>
      <c r="E297" s="109">
        <f>E303+E315</f>
        <v>304258</v>
      </c>
      <c r="F297" s="109"/>
      <c r="G297" s="109">
        <f t="shared" si="102"/>
        <v>304258</v>
      </c>
    </row>
    <row r="298" spans="1:7" x14ac:dyDescent="0.2">
      <c r="A298" s="145" t="s">
        <v>120</v>
      </c>
      <c r="B298" s="145"/>
      <c r="C298" s="145"/>
      <c r="D298" s="145"/>
      <c r="E298" s="142">
        <f t="shared" ref="E298:G298" si="103">E299</f>
        <v>345966</v>
      </c>
      <c r="F298" s="142">
        <f t="shared" si="103"/>
        <v>0</v>
      </c>
      <c r="G298" s="142">
        <f t="shared" si="103"/>
        <v>345966</v>
      </c>
    </row>
    <row r="299" spans="1:7" x14ac:dyDescent="0.2">
      <c r="A299" s="151" t="s">
        <v>194</v>
      </c>
      <c r="B299" s="175"/>
      <c r="C299" s="175"/>
      <c r="D299" s="175"/>
      <c r="E299" s="143">
        <f t="shared" ref="E299:G299" si="104">E304+E308</f>
        <v>345966</v>
      </c>
      <c r="F299" s="143">
        <f t="shared" si="104"/>
        <v>0</v>
      </c>
      <c r="G299" s="143">
        <f t="shared" si="104"/>
        <v>345966</v>
      </c>
    </row>
    <row r="300" spans="1:7" x14ac:dyDescent="0.2">
      <c r="A300" s="176" t="s">
        <v>265</v>
      </c>
      <c r="B300" s="177"/>
      <c r="C300" s="177"/>
      <c r="D300" s="177"/>
      <c r="E300" s="178"/>
      <c r="F300" s="178"/>
      <c r="G300" s="178"/>
    </row>
    <row r="301" spans="1:7" x14ac:dyDescent="0.2">
      <c r="A301" s="154" t="s">
        <v>143</v>
      </c>
      <c r="B301" s="155"/>
      <c r="C301" s="155"/>
      <c r="D301" s="156"/>
      <c r="E301" s="160"/>
      <c r="F301" s="160"/>
      <c r="G301" s="160"/>
    </row>
    <row r="302" spans="1:7" x14ac:dyDescent="0.2">
      <c r="A302" s="179" t="s">
        <v>284</v>
      </c>
      <c r="B302" s="179"/>
      <c r="C302" s="179"/>
      <c r="D302" s="179"/>
      <c r="E302" s="137">
        <v>43508</v>
      </c>
      <c r="F302" s="137"/>
      <c r="G302" s="137">
        <f>E302+F302</f>
        <v>43508</v>
      </c>
    </row>
    <row r="303" spans="1:7" x14ac:dyDescent="0.2">
      <c r="A303" s="231" t="s">
        <v>273</v>
      </c>
      <c r="B303" s="232"/>
      <c r="C303" s="232"/>
      <c r="D303" s="233"/>
      <c r="E303" s="137">
        <f>100000+119+202339</f>
        <v>302458</v>
      </c>
      <c r="F303" s="137"/>
      <c r="G303" s="137">
        <f>E303+F303</f>
        <v>302458</v>
      </c>
    </row>
    <row r="304" spans="1:7" x14ac:dyDescent="0.2">
      <c r="A304" s="248">
        <v>3</v>
      </c>
      <c r="B304" s="249"/>
      <c r="C304" s="250"/>
      <c r="D304" s="118" t="s">
        <v>18</v>
      </c>
      <c r="E304" s="16">
        <f>E305+E306+E307</f>
        <v>341466</v>
      </c>
      <c r="F304" s="16">
        <f t="shared" ref="F304:G304" si="105">F305+F306+F307</f>
        <v>0</v>
      </c>
      <c r="G304" s="16">
        <f t="shared" si="105"/>
        <v>341466</v>
      </c>
    </row>
    <row r="305" spans="1:7" x14ac:dyDescent="0.2">
      <c r="A305" s="251">
        <v>31</v>
      </c>
      <c r="B305" s="252"/>
      <c r="C305" s="253"/>
      <c r="D305" s="118" t="s">
        <v>21</v>
      </c>
      <c r="E305" s="98">
        <v>273940</v>
      </c>
      <c r="F305" s="98"/>
      <c r="G305" s="98">
        <f>E305+F305</f>
        <v>273940</v>
      </c>
    </row>
    <row r="306" spans="1:7" x14ac:dyDescent="0.2">
      <c r="A306" s="251">
        <v>32</v>
      </c>
      <c r="B306" s="252"/>
      <c r="C306" s="253"/>
      <c r="D306" s="118" t="s">
        <v>32</v>
      </c>
      <c r="E306" s="98">
        <v>66566</v>
      </c>
      <c r="F306" s="98"/>
      <c r="G306" s="98">
        <f t="shared" ref="G306:G307" si="106">E306+F306</f>
        <v>66566</v>
      </c>
    </row>
    <row r="307" spans="1:7" x14ac:dyDescent="0.2">
      <c r="A307" s="251">
        <v>34</v>
      </c>
      <c r="B307" s="252"/>
      <c r="C307" s="253"/>
      <c r="D307" s="118" t="s">
        <v>84</v>
      </c>
      <c r="E307" s="98">
        <v>960</v>
      </c>
      <c r="F307" s="98"/>
      <c r="G307" s="98">
        <f t="shared" si="106"/>
        <v>960</v>
      </c>
    </row>
    <row r="308" spans="1:7" ht="24" x14ac:dyDescent="0.2">
      <c r="A308" s="248">
        <v>4</v>
      </c>
      <c r="B308" s="249"/>
      <c r="C308" s="250"/>
      <c r="D308" s="118" t="s">
        <v>5</v>
      </c>
      <c r="E308" s="16">
        <f>E309</f>
        <v>4500</v>
      </c>
      <c r="F308" s="16">
        <f t="shared" ref="F308:G308" si="107">F309</f>
        <v>0</v>
      </c>
      <c r="G308" s="16">
        <f t="shared" si="107"/>
        <v>4500</v>
      </c>
    </row>
    <row r="309" spans="1:7" ht="24" x14ac:dyDescent="0.2">
      <c r="A309" s="251">
        <v>42</v>
      </c>
      <c r="B309" s="252"/>
      <c r="C309" s="253"/>
      <c r="D309" s="118" t="s">
        <v>81</v>
      </c>
      <c r="E309" s="98">
        <v>4500</v>
      </c>
      <c r="F309" s="98"/>
      <c r="G309" s="98">
        <f>E309+F309</f>
        <v>4500</v>
      </c>
    </row>
    <row r="310" spans="1:7" x14ac:dyDescent="0.2">
      <c r="A310" s="145" t="s">
        <v>121</v>
      </c>
      <c r="B310" s="145"/>
      <c r="C310" s="145"/>
      <c r="D310" s="145"/>
      <c r="E310" s="142">
        <f>E311+E319</f>
        <v>11800</v>
      </c>
      <c r="F310" s="142">
        <f t="shared" ref="F310:G310" si="108">F311+F319</f>
        <v>-100</v>
      </c>
      <c r="G310" s="142">
        <f t="shared" si="108"/>
        <v>11700</v>
      </c>
    </row>
    <row r="311" spans="1:7" x14ac:dyDescent="0.2">
      <c r="A311" s="268" t="s">
        <v>195</v>
      </c>
      <c r="B311" s="269"/>
      <c r="C311" s="269"/>
      <c r="D311" s="269"/>
      <c r="E311" s="239">
        <f t="shared" ref="E311:G311" si="109">E316</f>
        <v>7800</v>
      </c>
      <c r="F311" s="239">
        <f t="shared" si="109"/>
        <v>-100</v>
      </c>
      <c r="G311" s="239">
        <f t="shared" si="109"/>
        <v>7700</v>
      </c>
    </row>
    <row r="312" spans="1:7" x14ac:dyDescent="0.2">
      <c r="A312" s="271" t="s">
        <v>73</v>
      </c>
      <c r="B312" s="272"/>
      <c r="C312" s="272"/>
      <c r="D312" s="290"/>
      <c r="E312" s="240"/>
      <c r="F312" s="240"/>
      <c r="G312" s="240"/>
    </row>
    <row r="313" spans="1:7" x14ac:dyDescent="0.2">
      <c r="A313" s="154" t="s">
        <v>144</v>
      </c>
      <c r="B313" s="155"/>
      <c r="C313" s="155"/>
      <c r="D313" s="156"/>
      <c r="E313" s="160"/>
      <c r="F313" s="160"/>
      <c r="G313" s="160"/>
    </row>
    <row r="314" spans="1:7" x14ac:dyDescent="0.2">
      <c r="A314" s="231" t="s">
        <v>286</v>
      </c>
      <c r="B314" s="232"/>
      <c r="C314" s="232"/>
      <c r="D314" s="232"/>
      <c r="E314" s="161">
        <v>6000</v>
      </c>
      <c r="F314" s="161">
        <v>-100</v>
      </c>
      <c r="G314" s="161">
        <f>E314+F314</f>
        <v>5900</v>
      </c>
    </row>
    <row r="315" spans="1:7" x14ac:dyDescent="0.2">
      <c r="A315" s="231" t="s">
        <v>273</v>
      </c>
      <c r="B315" s="232"/>
      <c r="C315" s="232"/>
      <c r="D315" s="233"/>
      <c r="E315" s="137">
        <v>1800</v>
      </c>
      <c r="F315" s="137"/>
      <c r="G315" s="161">
        <f>E315+F315</f>
        <v>1800</v>
      </c>
    </row>
    <row r="316" spans="1:7" x14ac:dyDescent="0.2">
      <c r="A316" s="248">
        <v>3</v>
      </c>
      <c r="B316" s="249"/>
      <c r="C316" s="250"/>
      <c r="D316" s="118" t="s">
        <v>18</v>
      </c>
      <c r="E316" s="16">
        <f>E318+E317</f>
        <v>7800</v>
      </c>
      <c r="F316" s="16">
        <f t="shared" ref="F316:G316" si="110">F318+F317</f>
        <v>-100</v>
      </c>
      <c r="G316" s="16">
        <f t="shared" si="110"/>
        <v>7700</v>
      </c>
    </row>
    <row r="317" spans="1:7" x14ac:dyDescent="0.2">
      <c r="A317" s="251">
        <v>32</v>
      </c>
      <c r="B317" s="252"/>
      <c r="C317" s="253"/>
      <c r="D317" s="118" t="s">
        <v>32</v>
      </c>
      <c r="E317" s="16">
        <v>1800</v>
      </c>
      <c r="F317" s="16"/>
      <c r="G317" s="16">
        <f>E317+F317</f>
        <v>1800</v>
      </c>
    </row>
    <row r="318" spans="1:7" ht="24" x14ac:dyDescent="0.2">
      <c r="A318" s="251">
        <v>36</v>
      </c>
      <c r="B318" s="252"/>
      <c r="C318" s="253"/>
      <c r="D318" s="118" t="s">
        <v>47</v>
      </c>
      <c r="E318" s="98">
        <v>6000</v>
      </c>
      <c r="F318" s="98">
        <v>-100</v>
      </c>
      <c r="G318" s="16">
        <f>E318+F318</f>
        <v>5900</v>
      </c>
    </row>
    <row r="319" spans="1:7" ht="12" customHeight="1" x14ac:dyDescent="0.2">
      <c r="A319" s="258" t="s">
        <v>196</v>
      </c>
      <c r="B319" s="258"/>
      <c r="C319" s="258"/>
      <c r="D319" s="258"/>
      <c r="E319" s="138">
        <f>E322</f>
        <v>4000</v>
      </c>
      <c r="F319" s="138">
        <f t="shared" ref="F319:G319" si="111">F322</f>
        <v>0</v>
      </c>
      <c r="G319" s="138">
        <f t="shared" si="111"/>
        <v>4000</v>
      </c>
    </row>
    <row r="320" spans="1:7" x14ac:dyDescent="0.2">
      <c r="A320" s="154" t="s">
        <v>144</v>
      </c>
      <c r="B320" s="155"/>
      <c r="C320" s="155"/>
      <c r="D320" s="156"/>
      <c r="E320" s="160"/>
      <c r="F320" s="160"/>
      <c r="G320" s="160"/>
    </row>
    <row r="321" spans="1:7" x14ac:dyDescent="0.2">
      <c r="A321" s="231" t="s">
        <v>286</v>
      </c>
      <c r="B321" s="232"/>
      <c r="C321" s="232"/>
      <c r="D321" s="232"/>
      <c r="E321" s="137">
        <v>4000</v>
      </c>
      <c r="F321" s="137"/>
      <c r="G321" s="137">
        <f>E321+F321</f>
        <v>4000</v>
      </c>
    </row>
    <row r="322" spans="1:7" x14ac:dyDescent="0.2">
      <c r="A322" s="248">
        <v>3</v>
      </c>
      <c r="B322" s="249"/>
      <c r="C322" s="250"/>
      <c r="D322" s="118" t="s">
        <v>18</v>
      </c>
      <c r="E322" s="98">
        <f>E323</f>
        <v>4000</v>
      </c>
      <c r="F322" s="98">
        <f t="shared" ref="F322:G322" si="112">F323</f>
        <v>0</v>
      </c>
      <c r="G322" s="98">
        <f t="shared" si="112"/>
        <v>4000</v>
      </c>
    </row>
    <row r="323" spans="1:7" ht="27" customHeight="1" x14ac:dyDescent="0.2">
      <c r="A323" s="251">
        <v>37</v>
      </c>
      <c r="B323" s="252"/>
      <c r="C323" s="253"/>
      <c r="D323" s="118" t="s">
        <v>48</v>
      </c>
      <c r="E323" s="98">
        <v>4000</v>
      </c>
      <c r="F323" s="98"/>
      <c r="G323" s="98">
        <f>E323+F323</f>
        <v>4000</v>
      </c>
    </row>
    <row r="324" spans="1:7" x14ac:dyDescent="0.2">
      <c r="A324" s="265" t="s">
        <v>122</v>
      </c>
      <c r="B324" s="266"/>
      <c r="C324" s="266"/>
      <c r="D324" s="267"/>
      <c r="E324" s="142">
        <f t="shared" ref="E324:G324" si="113">E325</f>
        <v>3000</v>
      </c>
      <c r="F324" s="142">
        <f t="shared" si="113"/>
        <v>0</v>
      </c>
      <c r="G324" s="142">
        <f t="shared" si="113"/>
        <v>3000</v>
      </c>
    </row>
    <row r="325" spans="1:7" x14ac:dyDescent="0.2">
      <c r="A325" s="268" t="s">
        <v>197</v>
      </c>
      <c r="B325" s="269"/>
      <c r="C325" s="269"/>
      <c r="D325" s="270"/>
      <c r="E325" s="239">
        <f t="shared" ref="E325:G325" si="114">E329</f>
        <v>3000</v>
      </c>
      <c r="F325" s="239">
        <f t="shared" si="114"/>
        <v>0</v>
      </c>
      <c r="G325" s="239">
        <f t="shared" si="114"/>
        <v>3000</v>
      </c>
    </row>
    <row r="326" spans="1:7" x14ac:dyDescent="0.2">
      <c r="A326" s="271" t="s">
        <v>74</v>
      </c>
      <c r="B326" s="272"/>
      <c r="C326" s="272"/>
      <c r="D326" s="272"/>
      <c r="E326" s="240"/>
      <c r="F326" s="240"/>
      <c r="G326" s="240"/>
    </row>
    <row r="327" spans="1:7" x14ac:dyDescent="0.2">
      <c r="A327" s="154" t="s">
        <v>167</v>
      </c>
      <c r="B327" s="155"/>
      <c r="C327" s="155"/>
      <c r="D327" s="156"/>
      <c r="E327" s="160"/>
      <c r="F327" s="160"/>
      <c r="G327" s="160"/>
    </row>
    <row r="328" spans="1:7" x14ac:dyDescent="0.2">
      <c r="A328" s="231" t="s">
        <v>286</v>
      </c>
      <c r="B328" s="232"/>
      <c r="C328" s="232"/>
      <c r="D328" s="232"/>
      <c r="E328" s="137">
        <v>3000</v>
      </c>
      <c r="F328" s="137"/>
      <c r="G328" s="137">
        <f>E328+F328</f>
        <v>3000</v>
      </c>
    </row>
    <row r="329" spans="1:7" x14ac:dyDescent="0.2">
      <c r="A329" s="248">
        <v>3</v>
      </c>
      <c r="B329" s="249"/>
      <c r="C329" s="250"/>
      <c r="D329" s="118" t="s">
        <v>18</v>
      </c>
      <c r="E329" s="16">
        <f>E330</f>
        <v>3000</v>
      </c>
      <c r="F329" s="16">
        <f t="shared" ref="F329:G329" si="115">F330</f>
        <v>0</v>
      </c>
      <c r="G329" s="16">
        <f t="shared" si="115"/>
        <v>3000</v>
      </c>
    </row>
    <row r="330" spans="1:7" ht="27.75" customHeight="1" x14ac:dyDescent="0.2">
      <c r="A330" s="251">
        <v>37</v>
      </c>
      <c r="B330" s="252"/>
      <c r="C330" s="253"/>
      <c r="D330" s="118" t="s">
        <v>48</v>
      </c>
      <c r="E330" s="98">
        <v>3000</v>
      </c>
      <c r="F330" s="98"/>
      <c r="G330" s="98">
        <f>E330+F330</f>
        <v>3000</v>
      </c>
    </row>
    <row r="331" spans="1:7" x14ac:dyDescent="0.2">
      <c r="A331" s="145" t="s">
        <v>123</v>
      </c>
      <c r="B331" s="145"/>
      <c r="C331" s="145"/>
      <c r="D331" s="145"/>
      <c r="E331" s="142">
        <f t="shared" ref="E331:G331" si="116">E332</f>
        <v>10000</v>
      </c>
      <c r="F331" s="142">
        <f t="shared" si="116"/>
        <v>-2000</v>
      </c>
      <c r="G331" s="142">
        <f t="shared" si="116"/>
        <v>8000</v>
      </c>
    </row>
    <row r="332" spans="1:7" x14ac:dyDescent="0.2">
      <c r="A332" s="151" t="s">
        <v>198</v>
      </c>
      <c r="B332" s="175"/>
      <c r="C332" s="175"/>
      <c r="D332" s="175"/>
      <c r="E332" s="143">
        <f t="shared" ref="E332:G332" si="117">E335</f>
        <v>10000</v>
      </c>
      <c r="F332" s="143">
        <f t="shared" si="117"/>
        <v>-2000</v>
      </c>
      <c r="G332" s="143">
        <f t="shared" si="117"/>
        <v>8000</v>
      </c>
    </row>
    <row r="333" spans="1:7" x14ac:dyDescent="0.2">
      <c r="A333" s="154" t="s">
        <v>145</v>
      </c>
      <c r="B333" s="155"/>
      <c r="C333" s="155"/>
      <c r="D333" s="156"/>
      <c r="E333" s="160"/>
      <c r="F333" s="160"/>
      <c r="G333" s="160"/>
    </row>
    <row r="334" spans="1:7" x14ac:dyDescent="0.2">
      <c r="A334" s="231" t="s">
        <v>286</v>
      </c>
      <c r="B334" s="232"/>
      <c r="C334" s="232"/>
      <c r="D334" s="232"/>
      <c r="E334" s="137">
        <v>10000</v>
      </c>
      <c r="F334" s="137">
        <v>-2000</v>
      </c>
      <c r="G334" s="137">
        <f>E334+F334</f>
        <v>8000</v>
      </c>
    </row>
    <row r="335" spans="1:7" x14ac:dyDescent="0.2">
      <c r="A335" s="248">
        <v>3</v>
      </c>
      <c r="B335" s="249"/>
      <c r="C335" s="250"/>
      <c r="D335" s="118" t="s">
        <v>18</v>
      </c>
      <c r="E335" s="16">
        <f>E336</f>
        <v>10000</v>
      </c>
      <c r="F335" s="16">
        <f t="shared" ref="F335:G335" si="118">F336</f>
        <v>-2000</v>
      </c>
      <c r="G335" s="16">
        <f t="shared" si="118"/>
        <v>8000</v>
      </c>
    </row>
    <row r="336" spans="1:7" ht="27" customHeight="1" x14ac:dyDescent="0.2">
      <c r="A336" s="251">
        <v>37</v>
      </c>
      <c r="B336" s="252"/>
      <c r="C336" s="253"/>
      <c r="D336" s="118" t="s">
        <v>48</v>
      </c>
      <c r="E336" s="98">
        <v>10000</v>
      </c>
      <c r="F336" s="98">
        <v>-2000</v>
      </c>
      <c r="G336" s="98">
        <f>E336+F336</f>
        <v>8000</v>
      </c>
    </row>
    <row r="337" spans="1:7" x14ac:dyDescent="0.2">
      <c r="A337" s="148" t="s">
        <v>75</v>
      </c>
      <c r="B337" s="148"/>
      <c r="C337" s="148"/>
      <c r="D337" s="148"/>
      <c r="E337" s="246">
        <f t="shared" ref="E337:G337" si="119">E341+E349</f>
        <v>37500</v>
      </c>
      <c r="F337" s="246">
        <f t="shared" si="119"/>
        <v>-1500</v>
      </c>
      <c r="G337" s="246">
        <f t="shared" si="119"/>
        <v>36000</v>
      </c>
    </row>
    <row r="338" spans="1:7" x14ac:dyDescent="0.2">
      <c r="A338" s="303" t="s">
        <v>76</v>
      </c>
      <c r="B338" s="304"/>
      <c r="C338" s="304"/>
      <c r="D338" s="305"/>
      <c r="E338" s="247"/>
      <c r="F338" s="247"/>
      <c r="G338" s="247"/>
    </row>
    <row r="339" spans="1:7" x14ac:dyDescent="0.2">
      <c r="A339" s="87" t="s">
        <v>287</v>
      </c>
      <c r="B339" s="107"/>
      <c r="C339" s="107"/>
      <c r="D339" s="108"/>
      <c r="E339" s="88">
        <f>E344+E352</f>
        <v>23500</v>
      </c>
      <c r="F339" s="88">
        <f>F352</f>
        <v>-1500</v>
      </c>
      <c r="G339" s="88">
        <f>E339+F339</f>
        <v>22000</v>
      </c>
    </row>
    <row r="340" spans="1:7" x14ac:dyDescent="0.2">
      <c r="A340" s="87" t="s">
        <v>288</v>
      </c>
      <c r="B340" s="107"/>
      <c r="C340" s="107"/>
      <c r="D340" s="108"/>
      <c r="E340" s="88">
        <f>E345</f>
        <v>14000</v>
      </c>
      <c r="F340" s="88"/>
      <c r="G340" s="88">
        <f>E340+F340</f>
        <v>14000</v>
      </c>
    </row>
    <row r="341" spans="1:7" x14ac:dyDescent="0.2">
      <c r="A341" s="145" t="s">
        <v>124</v>
      </c>
      <c r="B341" s="145"/>
      <c r="C341" s="145"/>
      <c r="D341" s="145"/>
      <c r="E341" s="142">
        <f t="shared" ref="E341:G341" si="120">E342</f>
        <v>34000</v>
      </c>
      <c r="F341" s="142">
        <f t="shared" si="120"/>
        <v>0</v>
      </c>
      <c r="G341" s="142">
        <f t="shared" si="120"/>
        <v>34000</v>
      </c>
    </row>
    <row r="342" spans="1:7" ht="26.25" customHeight="1" x14ac:dyDescent="0.2">
      <c r="A342" s="254" t="s">
        <v>199</v>
      </c>
      <c r="B342" s="255"/>
      <c r="C342" s="255"/>
      <c r="D342" s="256"/>
      <c r="E342" s="112">
        <f t="shared" ref="E342:G342" si="121">E346</f>
        <v>34000</v>
      </c>
      <c r="F342" s="112">
        <f t="shared" si="121"/>
        <v>0</v>
      </c>
      <c r="G342" s="112">
        <f t="shared" si="121"/>
        <v>34000</v>
      </c>
    </row>
    <row r="343" spans="1:7" x14ac:dyDescent="0.2">
      <c r="A343" s="154" t="s">
        <v>146</v>
      </c>
      <c r="B343" s="155"/>
      <c r="C343" s="155"/>
      <c r="D343" s="156"/>
      <c r="E343" s="160"/>
      <c r="F343" s="160"/>
      <c r="G343" s="160"/>
    </row>
    <row r="344" spans="1:7" x14ac:dyDescent="0.2">
      <c r="A344" s="231" t="s">
        <v>286</v>
      </c>
      <c r="B344" s="232"/>
      <c r="C344" s="232"/>
      <c r="D344" s="232"/>
      <c r="E344" s="137">
        <v>20000</v>
      </c>
      <c r="F344" s="137"/>
      <c r="G344" s="137">
        <f>E344+F344</f>
        <v>20000</v>
      </c>
    </row>
    <row r="345" spans="1:7" x14ac:dyDescent="0.2">
      <c r="A345" s="291" t="s">
        <v>273</v>
      </c>
      <c r="B345" s="292"/>
      <c r="C345" s="292"/>
      <c r="D345" s="293"/>
      <c r="E345" s="137">
        <v>14000</v>
      </c>
      <c r="F345" s="137"/>
      <c r="G345" s="137">
        <f>E345+F345</f>
        <v>14000</v>
      </c>
    </row>
    <row r="346" spans="1:7" x14ac:dyDescent="0.2">
      <c r="A346" s="248">
        <v>3</v>
      </c>
      <c r="B346" s="249"/>
      <c r="C346" s="250"/>
      <c r="D346" s="118" t="s">
        <v>18</v>
      </c>
      <c r="E346" s="98">
        <f>E347+E348</f>
        <v>34000</v>
      </c>
      <c r="F346" s="98">
        <f t="shared" ref="F346:G346" si="122">F347+F348</f>
        <v>0</v>
      </c>
      <c r="G346" s="98">
        <f t="shared" si="122"/>
        <v>34000</v>
      </c>
    </row>
    <row r="347" spans="1:7" ht="24" x14ac:dyDescent="0.2">
      <c r="A347" s="251">
        <v>36</v>
      </c>
      <c r="B347" s="252"/>
      <c r="C347" s="253"/>
      <c r="D347" s="118" t="s">
        <v>47</v>
      </c>
      <c r="E347" s="98">
        <v>14000</v>
      </c>
      <c r="F347" s="98"/>
      <c r="G347" s="98">
        <f>E347+F347</f>
        <v>14000</v>
      </c>
    </row>
    <row r="348" spans="1:7" x14ac:dyDescent="0.2">
      <c r="A348" s="251">
        <v>38</v>
      </c>
      <c r="B348" s="252"/>
      <c r="C348" s="253"/>
      <c r="D348" s="118" t="s">
        <v>49</v>
      </c>
      <c r="E348" s="98">
        <v>20000</v>
      </c>
      <c r="F348" s="98"/>
      <c r="G348" s="98">
        <f>E348+F348</f>
        <v>20000</v>
      </c>
    </row>
    <row r="349" spans="1:7" x14ac:dyDescent="0.2">
      <c r="A349" s="307" t="s">
        <v>125</v>
      </c>
      <c r="B349" s="307"/>
      <c r="C349" s="307"/>
      <c r="D349" s="307"/>
      <c r="E349" s="180">
        <f t="shared" ref="E349:G349" si="123">E350</f>
        <v>3500</v>
      </c>
      <c r="F349" s="180">
        <f t="shared" si="123"/>
        <v>-1500</v>
      </c>
      <c r="G349" s="180">
        <f t="shared" si="123"/>
        <v>2000</v>
      </c>
    </row>
    <row r="350" spans="1:7" ht="25.5" customHeight="1" x14ac:dyDescent="0.2">
      <c r="A350" s="254" t="s">
        <v>200</v>
      </c>
      <c r="B350" s="255"/>
      <c r="C350" s="255"/>
      <c r="D350" s="256"/>
      <c r="E350" s="112">
        <f t="shared" ref="E350:G350" si="124">E353</f>
        <v>3500</v>
      </c>
      <c r="F350" s="112">
        <f t="shared" si="124"/>
        <v>-1500</v>
      </c>
      <c r="G350" s="112">
        <f t="shared" si="124"/>
        <v>2000</v>
      </c>
    </row>
    <row r="351" spans="1:7" x14ac:dyDescent="0.2">
      <c r="A351" s="154" t="s">
        <v>147</v>
      </c>
      <c r="B351" s="155"/>
      <c r="C351" s="155"/>
      <c r="D351" s="156"/>
      <c r="E351" s="160"/>
      <c r="F351" s="160"/>
      <c r="G351" s="160"/>
    </row>
    <row r="352" spans="1:7" x14ac:dyDescent="0.2">
      <c r="A352" s="231" t="s">
        <v>286</v>
      </c>
      <c r="B352" s="232"/>
      <c r="C352" s="232"/>
      <c r="D352" s="232"/>
      <c r="E352" s="137">
        <v>3500</v>
      </c>
      <c r="F352" s="137">
        <v>-1500</v>
      </c>
      <c r="G352" s="137">
        <f>E352+F352</f>
        <v>2000</v>
      </c>
    </row>
    <row r="353" spans="1:7" x14ac:dyDescent="0.2">
      <c r="A353" s="248">
        <v>3</v>
      </c>
      <c r="B353" s="249"/>
      <c r="C353" s="250"/>
      <c r="D353" s="118" t="s">
        <v>18</v>
      </c>
      <c r="E353" s="98">
        <f>E354</f>
        <v>3500</v>
      </c>
      <c r="F353" s="98">
        <f t="shared" ref="F353:G353" si="125">F354</f>
        <v>-1500</v>
      </c>
      <c r="G353" s="98">
        <f t="shared" si="125"/>
        <v>2000</v>
      </c>
    </row>
    <row r="354" spans="1:7" x14ac:dyDescent="0.2">
      <c r="A354" s="251">
        <v>38</v>
      </c>
      <c r="B354" s="252"/>
      <c r="C354" s="253"/>
      <c r="D354" s="118" t="s">
        <v>49</v>
      </c>
      <c r="E354" s="98">
        <v>3500</v>
      </c>
      <c r="F354" s="98">
        <v>-1500</v>
      </c>
      <c r="G354" s="98">
        <f>E354+F354</f>
        <v>2000</v>
      </c>
    </row>
    <row r="355" spans="1:7" x14ac:dyDescent="0.2">
      <c r="A355" s="131" t="s">
        <v>77</v>
      </c>
      <c r="B355" s="131"/>
      <c r="C355" s="131"/>
      <c r="D355" s="131"/>
      <c r="E355" s="106">
        <f>E357+E370+E364</f>
        <v>67000</v>
      </c>
      <c r="F355" s="106">
        <f t="shared" ref="F355:G355" si="126">F357+F370+F364</f>
        <v>30000</v>
      </c>
      <c r="G355" s="106">
        <f t="shared" si="126"/>
        <v>97000</v>
      </c>
    </row>
    <row r="356" spans="1:7" x14ac:dyDescent="0.2">
      <c r="A356" s="87" t="s">
        <v>287</v>
      </c>
      <c r="B356" s="107"/>
      <c r="C356" s="107"/>
      <c r="D356" s="108"/>
      <c r="E356" s="109">
        <f>E361+E367+E373</f>
        <v>67000</v>
      </c>
      <c r="F356" s="109">
        <f>F373</f>
        <v>30000</v>
      </c>
      <c r="G356" s="109">
        <f>E356+F356</f>
        <v>97000</v>
      </c>
    </row>
    <row r="357" spans="1:7" x14ac:dyDescent="0.2">
      <c r="A357" s="145" t="s">
        <v>126</v>
      </c>
      <c r="B357" s="145"/>
      <c r="C357" s="145"/>
      <c r="D357" s="145"/>
      <c r="E357" s="142">
        <f t="shared" ref="E357:G357" si="127">E358</f>
        <v>57000</v>
      </c>
      <c r="F357" s="142">
        <f t="shared" si="127"/>
        <v>0</v>
      </c>
      <c r="G357" s="142">
        <f t="shared" si="127"/>
        <v>57000</v>
      </c>
    </row>
    <row r="358" spans="1:7" x14ac:dyDescent="0.2">
      <c r="A358" s="268" t="s">
        <v>201</v>
      </c>
      <c r="B358" s="269"/>
      <c r="C358" s="269"/>
      <c r="D358" s="269"/>
      <c r="E358" s="239">
        <f t="shared" ref="E358:G358" si="128">E362</f>
        <v>57000</v>
      </c>
      <c r="F358" s="239">
        <f t="shared" si="128"/>
        <v>0</v>
      </c>
      <c r="G358" s="239">
        <f t="shared" si="128"/>
        <v>57000</v>
      </c>
    </row>
    <row r="359" spans="1:7" x14ac:dyDescent="0.2">
      <c r="A359" s="146" t="s">
        <v>78</v>
      </c>
      <c r="B359" s="150"/>
      <c r="C359" s="150"/>
      <c r="D359" s="150"/>
      <c r="E359" s="240"/>
      <c r="F359" s="240"/>
      <c r="G359" s="240"/>
    </row>
    <row r="360" spans="1:7" x14ac:dyDescent="0.2">
      <c r="A360" s="154" t="s">
        <v>148</v>
      </c>
      <c r="B360" s="155"/>
      <c r="C360" s="155"/>
      <c r="D360" s="156"/>
      <c r="E360" s="160"/>
      <c r="F360" s="160"/>
      <c r="G360" s="160"/>
    </row>
    <row r="361" spans="1:7" x14ac:dyDescent="0.2">
      <c r="A361" s="231" t="s">
        <v>286</v>
      </c>
      <c r="B361" s="232"/>
      <c r="C361" s="232"/>
      <c r="D361" s="232"/>
      <c r="E361" s="137">
        <v>57000</v>
      </c>
      <c r="F361" s="137"/>
      <c r="G361" s="137">
        <f>E361+F361</f>
        <v>57000</v>
      </c>
    </row>
    <row r="362" spans="1:7" x14ac:dyDescent="0.2">
      <c r="A362" s="248">
        <v>3</v>
      </c>
      <c r="B362" s="249"/>
      <c r="C362" s="250"/>
      <c r="D362" s="118" t="s">
        <v>18</v>
      </c>
      <c r="E362" s="16">
        <f>E363</f>
        <v>57000</v>
      </c>
      <c r="F362" s="16">
        <f t="shared" ref="F362:G362" si="129">F363</f>
        <v>0</v>
      </c>
      <c r="G362" s="16">
        <f t="shared" si="129"/>
        <v>57000</v>
      </c>
    </row>
    <row r="363" spans="1:7" x14ac:dyDescent="0.2">
      <c r="A363" s="251">
        <v>38</v>
      </c>
      <c r="B363" s="252"/>
      <c r="C363" s="253"/>
      <c r="D363" s="118" t="s">
        <v>49</v>
      </c>
      <c r="E363" s="98">
        <v>57000</v>
      </c>
      <c r="F363" s="98"/>
      <c r="G363" s="98">
        <f>E363+F363</f>
        <v>57000</v>
      </c>
    </row>
    <row r="364" spans="1:7" x14ac:dyDescent="0.2">
      <c r="A364" s="145" t="s">
        <v>127</v>
      </c>
      <c r="B364" s="145"/>
      <c r="C364" s="145"/>
      <c r="D364" s="145"/>
      <c r="E364" s="142">
        <f t="shared" ref="E364:G364" si="130">E365</f>
        <v>5000</v>
      </c>
      <c r="F364" s="142">
        <f t="shared" si="130"/>
        <v>0</v>
      </c>
      <c r="G364" s="142">
        <f t="shared" si="130"/>
        <v>5000</v>
      </c>
    </row>
    <row r="365" spans="1:7" x14ac:dyDescent="0.2">
      <c r="A365" s="306" t="s">
        <v>202</v>
      </c>
      <c r="B365" s="306"/>
      <c r="C365" s="306"/>
      <c r="D365" s="306"/>
      <c r="E365" s="138">
        <f t="shared" ref="E365:G365" si="131">E368</f>
        <v>5000</v>
      </c>
      <c r="F365" s="138">
        <f t="shared" si="131"/>
        <v>0</v>
      </c>
      <c r="G365" s="138">
        <f t="shared" si="131"/>
        <v>5000</v>
      </c>
    </row>
    <row r="366" spans="1:7" x14ac:dyDescent="0.2">
      <c r="A366" s="154" t="s">
        <v>149</v>
      </c>
      <c r="B366" s="155"/>
      <c r="C366" s="155"/>
      <c r="D366" s="156"/>
      <c r="E366" s="160"/>
      <c r="F366" s="160"/>
      <c r="G366" s="160"/>
    </row>
    <row r="367" spans="1:7" x14ac:dyDescent="0.2">
      <c r="A367" s="231" t="s">
        <v>286</v>
      </c>
      <c r="B367" s="232"/>
      <c r="C367" s="232"/>
      <c r="D367" s="232"/>
      <c r="E367" s="137">
        <v>5000</v>
      </c>
      <c r="F367" s="137"/>
      <c r="G367" s="137">
        <f>E367+F367</f>
        <v>5000</v>
      </c>
    </row>
    <row r="368" spans="1:7" x14ac:dyDescent="0.2">
      <c r="A368" s="248">
        <v>3</v>
      </c>
      <c r="B368" s="249"/>
      <c r="C368" s="250"/>
      <c r="D368" s="118" t="s">
        <v>18</v>
      </c>
      <c r="E368" s="16">
        <f>E369</f>
        <v>5000</v>
      </c>
      <c r="F368" s="16">
        <f t="shared" ref="F368:G368" si="132">F369</f>
        <v>0</v>
      </c>
      <c r="G368" s="16">
        <f t="shared" si="132"/>
        <v>5000</v>
      </c>
    </row>
    <row r="369" spans="1:7" x14ac:dyDescent="0.2">
      <c r="A369" s="251">
        <v>38</v>
      </c>
      <c r="B369" s="252"/>
      <c r="C369" s="253"/>
      <c r="D369" s="118" t="s">
        <v>49</v>
      </c>
      <c r="E369" s="98">
        <v>5000</v>
      </c>
      <c r="F369" s="98"/>
      <c r="G369" s="98">
        <f>E369+F369</f>
        <v>5000</v>
      </c>
    </row>
    <row r="370" spans="1:7" x14ac:dyDescent="0.2">
      <c r="A370" s="234" t="s">
        <v>166</v>
      </c>
      <c r="B370" s="235"/>
      <c r="C370" s="235"/>
      <c r="D370" s="236"/>
      <c r="E370" s="132">
        <f>E371</f>
        <v>5000</v>
      </c>
      <c r="F370" s="132">
        <f t="shared" ref="F370:G370" si="133">F371</f>
        <v>30000</v>
      </c>
      <c r="G370" s="132">
        <f t="shared" si="133"/>
        <v>35000</v>
      </c>
    </row>
    <row r="371" spans="1:7" x14ac:dyDescent="0.2">
      <c r="A371" s="259" t="s">
        <v>203</v>
      </c>
      <c r="B371" s="260"/>
      <c r="C371" s="260"/>
      <c r="D371" s="261"/>
      <c r="E371" s="112">
        <f t="shared" ref="E371:G371" si="134">E374</f>
        <v>5000</v>
      </c>
      <c r="F371" s="112">
        <f t="shared" si="134"/>
        <v>30000</v>
      </c>
      <c r="G371" s="112">
        <f t="shared" si="134"/>
        <v>35000</v>
      </c>
    </row>
    <row r="372" spans="1:7" x14ac:dyDescent="0.2">
      <c r="A372" s="154" t="s">
        <v>150</v>
      </c>
      <c r="B372" s="155"/>
      <c r="C372" s="155"/>
      <c r="D372" s="156"/>
      <c r="E372" s="160"/>
      <c r="F372" s="160"/>
      <c r="G372" s="160"/>
    </row>
    <row r="373" spans="1:7" x14ac:dyDescent="0.2">
      <c r="A373" s="231" t="s">
        <v>286</v>
      </c>
      <c r="B373" s="232"/>
      <c r="C373" s="232"/>
      <c r="D373" s="232"/>
      <c r="E373" s="137">
        <v>5000</v>
      </c>
      <c r="F373" s="137">
        <v>30000</v>
      </c>
      <c r="G373" s="137">
        <f>E373+F373</f>
        <v>35000</v>
      </c>
    </row>
    <row r="374" spans="1:7" x14ac:dyDescent="0.2">
      <c r="A374" s="248">
        <v>3</v>
      </c>
      <c r="B374" s="249"/>
      <c r="C374" s="250"/>
      <c r="D374" s="118" t="s">
        <v>18</v>
      </c>
      <c r="E374" s="16">
        <f>E375</f>
        <v>5000</v>
      </c>
      <c r="F374" s="16">
        <f t="shared" ref="F374:G374" si="135">F375</f>
        <v>30000</v>
      </c>
      <c r="G374" s="16">
        <f t="shared" si="135"/>
        <v>35000</v>
      </c>
    </row>
    <row r="375" spans="1:7" x14ac:dyDescent="0.2">
      <c r="A375" s="251">
        <v>38</v>
      </c>
      <c r="B375" s="252"/>
      <c r="C375" s="253"/>
      <c r="D375" s="118" t="s">
        <v>49</v>
      </c>
      <c r="E375" s="98">
        <v>5000</v>
      </c>
      <c r="F375" s="98">
        <v>30000</v>
      </c>
      <c r="G375" s="98">
        <f>E375+F375</f>
        <v>35000</v>
      </c>
    </row>
    <row r="376" spans="1:7" x14ac:dyDescent="0.2">
      <c r="A376" s="131" t="s">
        <v>79</v>
      </c>
      <c r="B376" s="131"/>
      <c r="C376" s="131"/>
      <c r="D376" s="131"/>
      <c r="E376" s="106">
        <f>E379+E398+E404</f>
        <v>176175</v>
      </c>
      <c r="F376" s="106">
        <f>F379+F398+F404</f>
        <v>17600</v>
      </c>
      <c r="G376" s="106">
        <f>G379+G398+G404</f>
        <v>193775</v>
      </c>
    </row>
    <row r="377" spans="1:7" x14ac:dyDescent="0.2">
      <c r="A377" s="87" t="s">
        <v>287</v>
      </c>
      <c r="B377" s="107"/>
      <c r="C377" s="107"/>
      <c r="D377" s="108"/>
      <c r="E377" s="109">
        <f>E382+E389+E401+E407</f>
        <v>69990</v>
      </c>
      <c r="F377" s="109">
        <f>F382+F389+F401+F407</f>
        <v>3600</v>
      </c>
      <c r="G377" s="109">
        <f>E377+F377</f>
        <v>73590</v>
      </c>
    </row>
    <row r="378" spans="1:7" x14ac:dyDescent="0.2">
      <c r="A378" s="87" t="s">
        <v>288</v>
      </c>
      <c r="B378" s="107"/>
      <c r="C378" s="107"/>
      <c r="D378" s="108"/>
      <c r="E378" s="109">
        <f>E394</f>
        <v>106185</v>
      </c>
      <c r="F378" s="109">
        <f>F383</f>
        <v>14000</v>
      </c>
      <c r="G378" s="109">
        <f>E378+F378</f>
        <v>120185</v>
      </c>
    </row>
    <row r="379" spans="1:7" x14ac:dyDescent="0.2">
      <c r="A379" s="110" t="s">
        <v>128</v>
      </c>
      <c r="B379" s="110"/>
      <c r="C379" s="110"/>
      <c r="D379" s="110"/>
      <c r="E379" s="111">
        <f>E380+E387+E392</f>
        <v>163075</v>
      </c>
      <c r="F379" s="111">
        <f>F380+F387+F392</f>
        <v>17600</v>
      </c>
      <c r="G379" s="111">
        <f>G380+G387+G392</f>
        <v>180675</v>
      </c>
    </row>
    <row r="380" spans="1:7" x14ac:dyDescent="0.2">
      <c r="A380" s="151" t="s">
        <v>204</v>
      </c>
      <c r="B380" s="175"/>
      <c r="C380" s="175"/>
      <c r="D380" s="175"/>
      <c r="E380" s="143">
        <f t="shared" ref="E380:G380" si="136">E384</f>
        <v>54890</v>
      </c>
      <c r="F380" s="143">
        <f t="shared" si="136"/>
        <v>17100</v>
      </c>
      <c r="G380" s="143">
        <f t="shared" si="136"/>
        <v>71990</v>
      </c>
    </row>
    <row r="381" spans="1:7" x14ac:dyDescent="0.2">
      <c r="A381" s="154" t="s">
        <v>151</v>
      </c>
      <c r="B381" s="155"/>
      <c r="C381" s="155"/>
      <c r="D381" s="156"/>
      <c r="E381" s="160"/>
      <c r="F381" s="160"/>
      <c r="G381" s="160"/>
    </row>
    <row r="382" spans="1:7" x14ac:dyDescent="0.2">
      <c r="A382" s="231" t="s">
        <v>286</v>
      </c>
      <c r="B382" s="232"/>
      <c r="C382" s="232"/>
      <c r="D382" s="232"/>
      <c r="E382" s="137">
        <v>54890</v>
      </c>
      <c r="F382" s="137">
        <f>G382-E382</f>
        <v>3100</v>
      </c>
      <c r="G382" s="137">
        <f>G380-G383</f>
        <v>57990</v>
      </c>
    </row>
    <row r="383" spans="1:7" x14ac:dyDescent="0.2">
      <c r="A383" s="231" t="s">
        <v>273</v>
      </c>
      <c r="B383" s="232"/>
      <c r="C383" s="232"/>
      <c r="D383" s="233"/>
      <c r="E383" s="137"/>
      <c r="F383" s="137">
        <v>14000</v>
      </c>
      <c r="G383" s="137">
        <f>E383+F383</f>
        <v>14000</v>
      </c>
    </row>
    <row r="384" spans="1:7" x14ac:dyDescent="0.2">
      <c r="A384" s="248">
        <v>3</v>
      </c>
      <c r="B384" s="249"/>
      <c r="C384" s="250"/>
      <c r="D384" s="118" t="s">
        <v>18</v>
      </c>
      <c r="E384" s="98">
        <f>E385+E386</f>
        <v>54890</v>
      </c>
      <c r="F384" s="98">
        <f t="shared" ref="F384:G384" si="137">F385+F386</f>
        <v>17100</v>
      </c>
      <c r="G384" s="98">
        <f t="shared" si="137"/>
        <v>71990</v>
      </c>
    </row>
    <row r="385" spans="1:7" ht="27" customHeight="1" x14ac:dyDescent="0.2">
      <c r="A385" s="251">
        <v>37</v>
      </c>
      <c r="B385" s="252"/>
      <c r="C385" s="253"/>
      <c r="D385" s="118" t="s">
        <v>48</v>
      </c>
      <c r="E385" s="98">
        <v>47300</v>
      </c>
      <c r="F385" s="98">
        <f>-500+5000+2000-4000+10000+100+500</f>
        <v>13100</v>
      </c>
      <c r="G385" s="98">
        <f>E385+F385</f>
        <v>60400</v>
      </c>
    </row>
    <row r="386" spans="1:7" x14ac:dyDescent="0.2">
      <c r="A386" s="251">
        <v>38</v>
      </c>
      <c r="B386" s="252"/>
      <c r="C386" s="253"/>
      <c r="D386" s="118" t="s">
        <v>49</v>
      </c>
      <c r="E386" s="98">
        <v>7590</v>
      </c>
      <c r="F386" s="98">
        <v>4000</v>
      </c>
      <c r="G386" s="98">
        <f>E386+F386</f>
        <v>11590</v>
      </c>
    </row>
    <row r="387" spans="1:7" x14ac:dyDescent="0.2">
      <c r="A387" s="151" t="s">
        <v>205</v>
      </c>
      <c r="B387" s="175"/>
      <c r="C387" s="175"/>
      <c r="D387" s="181"/>
      <c r="E387" s="143">
        <f t="shared" ref="E387:G387" si="138">E390</f>
        <v>2000</v>
      </c>
      <c r="F387" s="143">
        <f t="shared" si="138"/>
        <v>500</v>
      </c>
      <c r="G387" s="143">
        <f t="shared" si="138"/>
        <v>2500</v>
      </c>
    </row>
    <row r="388" spans="1:7" x14ac:dyDescent="0.2">
      <c r="A388" s="154" t="s">
        <v>151</v>
      </c>
      <c r="B388" s="155"/>
      <c r="C388" s="155"/>
      <c r="D388" s="156"/>
      <c r="E388" s="160"/>
      <c r="F388" s="160"/>
      <c r="G388" s="160"/>
    </row>
    <row r="389" spans="1:7" x14ac:dyDescent="0.2">
      <c r="A389" s="231" t="s">
        <v>276</v>
      </c>
      <c r="B389" s="232"/>
      <c r="C389" s="232"/>
      <c r="D389" s="232"/>
      <c r="E389" s="137">
        <v>2000</v>
      </c>
      <c r="F389" s="137">
        <v>500</v>
      </c>
      <c r="G389" s="137">
        <f>E389+F389</f>
        <v>2500</v>
      </c>
    </row>
    <row r="390" spans="1:7" x14ac:dyDescent="0.2">
      <c r="A390" s="248">
        <v>3</v>
      </c>
      <c r="B390" s="249"/>
      <c r="C390" s="250"/>
      <c r="D390" s="118" t="s">
        <v>18</v>
      </c>
      <c r="E390" s="98">
        <f>E391</f>
        <v>2000</v>
      </c>
      <c r="F390" s="98">
        <f t="shared" ref="F390:G390" si="139">F391</f>
        <v>500</v>
      </c>
      <c r="G390" s="98">
        <f t="shared" si="139"/>
        <v>2500</v>
      </c>
    </row>
    <row r="391" spans="1:7" ht="27" customHeight="1" x14ac:dyDescent="0.2">
      <c r="A391" s="251">
        <v>37</v>
      </c>
      <c r="B391" s="252"/>
      <c r="C391" s="253"/>
      <c r="D391" s="118" t="s">
        <v>48</v>
      </c>
      <c r="E391" s="98">
        <v>2000</v>
      </c>
      <c r="F391" s="98">
        <v>500</v>
      </c>
      <c r="G391" s="98">
        <f>E391+F391</f>
        <v>2500</v>
      </c>
    </row>
    <row r="392" spans="1:7" ht="12.75" customHeight="1" x14ac:dyDescent="0.2">
      <c r="A392" s="297" t="s">
        <v>206</v>
      </c>
      <c r="B392" s="298"/>
      <c r="C392" s="298"/>
      <c r="D392" s="299"/>
      <c r="E392" s="141">
        <f t="shared" ref="E392:G392" si="140">E395</f>
        <v>106185</v>
      </c>
      <c r="F392" s="141">
        <f t="shared" si="140"/>
        <v>0</v>
      </c>
      <c r="G392" s="141">
        <f t="shared" si="140"/>
        <v>106185</v>
      </c>
    </row>
    <row r="393" spans="1:7" x14ac:dyDescent="0.2">
      <c r="A393" s="154" t="s">
        <v>152</v>
      </c>
      <c r="B393" s="155"/>
      <c r="C393" s="155"/>
      <c r="D393" s="156"/>
      <c r="E393" s="160"/>
      <c r="F393" s="160"/>
      <c r="G393" s="160"/>
    </row>
    <row r="394" spans="1:7" x14ac:dyDescent="0.2">
      <c r="A394" s="231" t="s">
        <v>278</v>
      </c>
      <c r="B394" s="232"/>
      <c r="C394" s="232"/>
      <c r="D394" s="233"/>
      <c r="E394" s="137">
        <v>106185</v>
      </c>
      <c r="F394" s="137"/>
      <c r="G394" s="137">
        <f>E394+F394</f>
        <v>106185</v>
      </c>
    </row>
    <row r="395" spans="1:7" x14ac:dyDescent="0.2">
      <c r="A395" s="248">
        <v>3</v>
      </c>
      <c r="B395" s="249"/>
      <c r="C395" s="250"/>
      <c r="D395" s="118" t="s">
        <v>18</v>
      </c>
      <c r="E395" s="98">
        <f>E396+E397</f>
        <v>106185</v>
      </c>
      <c r="F395" s="98">
        <f t="shared" ref="F395:G395" si="141">F396+F397</f>
        <v>0</v>
      </c>
      <c r="G395" s="98">
        <f t="shared" si="141"/>
        <v>106185</v>
      </c>
    </row>
    <row r="396" spans="1:7" x14ac:dyDescent="0.2">
      <c r="A396" s="251">
        <v>31</v>
      </c>
      <c r="B396" s="252"/>
      <c r="C396" s="253"/>
      <c r="D396" s="118" t="s">
        <v>21</v>
      </c>
      <c r="E396" s="98">
        <v>101985</v>
      </c>
      <c r="F396" s="98"/>
      <c r="G396" s="98">
        <f>E396+F396</f>
        <v>101985</v>
      </c>
    </row>
    <row r="397" spans="1:7" x14ac:dyDescent="0.2">
      <c r="A397" s="251">
        <v>32</v>
      </c>
      <c r="B397" s="252"/>
      <c r="C397" s="253"/>
      <c r="D397" s="118" t="s">
        <v>32</v>
      </c>
      <c r="E397" s="98">
        <v>4200</v>
      </c>
      <c r="F397" s="98"/>
      <c r="G397" s="98">
        <f>E397+F397</f>
        <v>4200</v>
      </c>
    </row>
    <row r="398" spans="1:7" x14ac:dyDescent="0.2">
      <c r="A398" s="234" t="s">
        <v>129</v>
      </c>
      <c r="B398" s="235"/>
      <c r="C398" s="235"/>
      <c r="D398" s="236"/>
      <c r="E398" s="142">
        <f>E399</f>
        <v>2100</v>
      </c>
      <c r="F398" s="142">
        <f t="shared" ref="F398:G398" si="142">F399</f>
        <v>0</v>
      </c>
      <c r="G398" s="142">
        <f t="shared" si="142"/>
        <v>2100</v>
      </c>
    </row>
    <row r="399" spans="1:7" x14ac:dyDescent="0.2">
      <c r="A399" s="259" t="s">
        <v>207</v>
      </c>
      <c r="B399" s="260"/>
      <c r="C399" s="260"/>
      <c r="D399" s="261"/>
      <c r="E399" s="112">
        <f t="shared" ref="E399:G399" si="143">E402</f>
        <v>2100</v>
      </c>
      <c r="F399" s="112">
        <f t="shared" si="143"/>
        <v>0</v>
      </c>
      <c r="G399" s="112">
        <f t="shared" si="143"/>
        <v>2100</v>
      </c>
    </row>
    <row r="400" spans="1:7" x14ac:dyDescent="0.2">
      <c r="A400" s="278" t="s">
        <v>153</v>
      </c>
      <c r="B400" s="279"/>
      <c r="C400" s="279"/>
      <c r="D400" s="279"/>
      <c r="E400" s="279"/>
      <c r="F400" s="279"/>
      <c r="G400" s="280"/>
    </row>
    <row r="401" spans="1:7" x14ac:dyDescent="0.2">
      <c r="A401" s="231" t="s">
        <v>276</v>
      </c>
      <c r="B401" s="232"/>
      <c r="C401" s="232"/>
      <c r="D401" s="232"/>
      <c r="E401" s="137">
        <v>2100</v>
      </c>
      <c r="F401" s="137"/>
      <c r="G401" s="137">
        <f>E401+F401</f>
        <v>2100</v>
      </c>
    </row>
    <row r="402" spans="1:7" x14ac:dyDescent="0.2">
      <c r="A402" s="248">
        <v>3</v>
      </c>
      <c r="B402" s="249"/>
      <c r="C402" s="250"/>
      <c r="D402" s="118" t="s">
        <v>18</v>
      </c>
      <c r="E402" s="98">
        <f>E403</f>
        <v>2100</v>
      </c>
      <c r="F402" s="98">
        <f t="shared" ref="F402:G402" si="144">F403</f>
        <v>0</v>
      </c>
      <c r="G402" s="98">
        <f t="shared" si="144"/>
        <v>2100</v>
      </c>
    </row>
    <row r="403" spans="1:7" x14ac:dyDescent="0.2">
      <c r="A403" s="251">
        <v>38</v>
      </c>
      <c r="B403" s="252"/>
      <c r="C403" s="253"/>
      <c r="D403" s="118" t="s">
        <v>49</v>
      </c>
      <c r="E403" s="98">
        <v>2100</v>
      </c>
      <c r="F403" s="98"/>
      <c r="G403" s="98">
        <f>E403+F403</f>
        <v>2100</v>
      </c>
    </row>
    <row r="404" spans="1:7" x14ac:dyDescent="0.2">
      <c r="A404" s="234" t="s">
        <v>130</v>
      </c>
      <c r="B404" s="235"/>
      <c r="C404" s="235"/>
      <c r="D404" s="236"/>
      <c r="E404" s="140">
        <f>E405</f>
        <v>11000</v>
      </c>
      <c r="F404" s="140">
        <f t="shared" ref="F404:G404" si="145">F405</f>
        <v>0</v>
      </c>
      <c r="G404" s="140">
        <f t="shared" si="145"/>
        <v>11000</v>
      </c>
    </row>
    <row r="405" spans="1:7" ht="13.5" customHeight="1" x14ac:dyDescent="0.2">
      <c r="A405" s="297" t="s">
        <v>208</v>
      </c>
      <c r="B405" s="298"/>
      <c r="C405" s="298"/>
      <c r="D405" s="299"/>
      <c r="E405" s="143">
        <f t="shared" ref="E405:G405" si="146">E408</f>
        <v>11000</v>
      </c>
      <c r="F405" s="143">
        <f t="shared" si="146"/>
        <v>0</v>
      </c>
      <c r="G405" s="143">
        <f t="shared" si="146"/>
        <v>11000</v>
      </c>
    </row>
    <row r="406" spans="1:7" x14ac:dyDescent="0.2">
      <c r="A406" s="154" t="s">
        <v>154</v>
      </c>
      <c r="B406" s="155"/>
      <c r="C406" s="155"/>
      <c r="D406" s="156"/>
      <c r="E406" s="160"/>
      <c r="F406" s="160"/>
      <c r="G406" s="160"/>
    </row>
    <row r="407" spans="1:7" x14ac:dyDescent="0.2">
      <c r="A407" s="231" t="s">
        <v>276</v>
      </c>
      <c r="B407" s="232"/>
      <c r="C407" s="232"/>
      <c r="D407" s="232"/>
      <c r="E407" s="137">
        <v>11000</v>
      </c>
      <c r="F407" s="137"/>
      <c r="G407" s="137">
        <f>E407+F407</f>
        <v>11000</v>
      </c>
    </row>
    <row r="408" spans="1:7" x14ac:dyDescent="0.2">
      <c r="A408" s="248">
        <v>3</v>
      </c>
      <c r="B408" s="249"/>
      <c r="C408" s="250"/>
      <c r="D408" s="118" t="s">
        <v>18</v>
      </c>
      <c r="E408" s="16">
        <f>E409</f>
        <v>11000</v>
      </c>
      <c r="F408" s="16">
        <f t="shared" ref="F408:G408" si="147">F409</f>
        <v>0</v>
      </c>
      <c r="G408" s="16">
        <f t="shared" si="147"/>
        <v>11000</v>
      </c>
    </row>
    <row r="409" spans="1:7" x14ac:dyDescent="0.2">
      <c r="A409" s="251">
        <v>38</v>
      </c>
      <c r="B409" s="252"/>
      <c r="C409" s="253"/>
      <c r="D409" s="118" t="s">
        <v>49</v>
      </c>
      <c r="E409" s="98">
        <v>11000</v>
      </c>
      <c r="F409" s="98"/>
      <c r="G409" s="98">
        <f>E409+F409</f>
        <v>11000</v>
      </c>
    </row>
    <row r="410" spans="1:7" x14ac:dyDescent="0.2">
      <c r="A410" s="300" t="s">
        <v>80</v>
      </c>
      <c r="B410" s="301"/>
      <c r="C410" s="301"/>
      <c r="D410" s="302"/>
      <c r="E410" s="182">
        <f>E412</f>
        <v>12000</v>
      </c>
      <c r="F410" s="182">
        <f t="shared" ref="F410:G410" si="148">F412</f>
        <v>0</v>
      </c>
      <c r="G410" s="182">
        <f t="shared" si="148"/>
        <v>12000</v>
      </c>
    </row>
    <row r="411" spans="1:7" x14ac:dyDescent="0.2">
      <c r="A411" s="87" t="s">
        <v>287</v>
      </c>
      <c r="B411" s="107"/>
      <c r="C411" s="107"/>
      <c r="D411" s="108"/>
      <c r="E411" s="90">
        <f>E415</f>
        <v>12000</v>
      </c>
      <c r="F411" s="90"/>
      <c r="G411" s="90">
        <f>F411+E411</f>
        <v>12000</v>
      </c>
    </row>
    <row r="412" spans="1:7" x14ac:dyDescent="0.2">
      <c r="A412" s="145" t="s">
        <v>131</v>
      </c>
      <c r="B412" s="145"/>
      <c r="C412" s="145"/>
      <c r="D412" s="145"/>
      <c r="E412" s="142">
        <f t="shared" ref="E412:G412" si="149">E413</f>
        <v>12000</v>
      </c>
      <c r="F412" s="142">
        <f t="shared" si="149"/>
        <v>0</v>
      </c>
      <c r="G412" s="142">
        <f t="shared" si="149"/>
        <v>12000</v>
      </c>
    </row>
    <row r="413" spans="1:7" x14ac:dyDescent="0.2">
      <c r="A413" s="151" t="s">
        <v>209</v>
      </c>
      <c r="B413" s="175"/>
      <c r="C413" s="175"/>
      <c r="D413" s="175"/>
      <c r="E413" s="143">
        <f t="shared" ref="E413:G413" si="150">E416</f>
        <v>12000</v>
      </c>
      <c r="F413" s="143">
        <f t="shared" si="150"/>
        <v>0</v>
      </c>
      <c r="G413" s="143">
        <f t="shared" si="150"/>
        <v>12000</v>
      </c>
    </row>
    <row r="414" spans="1:7" x14ac:dyDescent="0.2">
      <c r="A414" s="154" t="s">
        <v>155</v>
      </c>
      <c r="B414" s="155"/>
      <c r="C414" s="155"/>
      <c r="D414" s="156"/>
      <c r="E414" s="160"/>
      <c r="F414" s="160"/>
      <c r="G414" s="160"/>
    </row>
    <row r="415" spans="1:7" x14ac:dyDescent="0.2">
      <c r="A415" s="231" t="s">
        <v>276</v>
      </c>
      <c r="B415" s="232"/>
      <c r="C415" s="232"/>
      <c r="D415" s="232"/>
      <c r="E415" s="137">
        <v>12000</v>
      </c>
      <c r="F415" s="137">
        <v>0</v>
      </c>
      <c r="G415" s="137">
        <f>E415+F415</f>
        <v>12000</v>
      </c>
    </row>
    <row r="416" spans="1:7" x14ac:dyDescent="0.2">
      <c r="A416" s="248">
        <v>3</v>
      </c>
      <c r="B416" s="249"/>
      <c r="C416" s="250"/>
      <c r="D416" s="118" t="s">
        <v>18</v>
      </c>
      <c r="E416" s="16">
        <f>E417</f>
        <v>12000</v>
      </c>
      <c r="F416" s="16">
        <f t="shared" ref="F416:G416" si="151">F417</f>
        <v>0</v>
      </c>
      <c r="G416" s="16">
        <f t="shared" si="151"/>
        <v>12000</v>
      </c>
    </row>
    <row r="417" spans="1:7" x14ac:dyDescent="0.2">
      <c r="A417" s="251">
        <v>38</v>
      </c>
      <c r="B417" s="252"/>
      <c r="C417" s="253"/>
      <c r="D417" s="118" t="s">
        <v>49</v>
      </c>
      <c r="E417" s="98">
        <v>12000</v>
      </c>
      <c r="F417" s="98"/>
      <c r="G417" s="98">
        <f>E417+F417</f>
        <v>12000</v>
      </c>
    </row>
    <row r="418" spans="1:7" x14ac:dyDescent="0.2">
      <c r="E418" s="34"/>
      <c r="F418" s="34"/>
      <c r="G418" s="34"/>
    </row>
    <row r="419" spans="1:7" x14ac:dyDescent="0.2">
      <c r="A419" s="338" t="s">
        <v>259</v>
      </c>
      <c r="B419" s="338"/>
      <c r="C419" s="338"/>
      <c r="D419" s="338"/>
      <c r="E419" s="338"/>
      <c r="F419" s="338"/>
      <c r="G419" s="338"/>
    </row>
    <row r="420" spans="1:7" x14ac:dyDescent="0.2">
      <c r="E420" s="34"/>
      <c r="F420" s="34"/>
      <c r="G420" s="34"/>
    </row>
    <row r="421" spans="1:7" x14ac:dyDescent="0.2">
      <c r="A421" s="230" t="s">
        <v>319</v>
      </c>
      <c r="B421" s="230"/>
      <c r="C421" s="230"/>
      <c r="D421" s="230"/>
      <c r="E421" s="230"/>
      <c r="F421" s="230"/>
      <c r="G421" s="230"/>
    </row>
    <row r="422" spans="1:7" x14ac:dyDescent="0.2">
      <c r="E422" s="34"/>
      <c r="F422" s="34"/>
      <c r="G422" s="34"/>
    </row>
    <row r="423" spans="1:7" x14ac:dyDescent="0.2">
      <c r="E423" s="34"/>
      <c r="F423" s="34"/>
      <c r="G423" s="34"/>
    </row>
    <row r="424" spans="1:7" x14ac:dyDescent="0.2">
      <c r="E424" s="34"/>
      <c r="F424" s="34"/>
      <c r="G424" s="34"/>
    </row>
    <row r="425" spans="1:7" x14ac:dyDescent="0.2">
      <c r="A425" s="338" t="s">
        <v>320</v>
      </c>
      <c r="B425" s="338"/>
      <c r="C425" s="338"/>
      <c r="D425" s="338"/>
      <c r="E425" s="338"/>
      <c r="F425" s="338"/>
      <c r="G425" s="338"/>
    </row>
    <row r="426" spans="1:7" x14ac:dyDescent="0.2">
      <c r="E426" s="34"/>
      <c r="F426" s="34"/>
      <c r="G426" s="34"/>
    </row>
    <row r="427" spans="1:7" x14ac:dyDescent="0.2">
      <c r="A427" s="338" t="s">
        <v>260</v>
      </c>
      <c r="B427" s="338"/>
      <c r="C427" s="338"/>
      <c r="D427" s="338"/>
      <c r="E427" s="338"/>
      <c r="F427" s="338"/>
      <c r="G427" s="338"/>
    </row>
    <row r="428" spans="1:7" x14ac:dyDescent="0.2">
      <c r="E428" s="34"/>
      <c r="F428" s="34"/>
      <c r="G428" s="34"/>
    </row>
    <row r="429" spans="1:7" x14ac:dyDescent="0.2">
      <c r="A429" s="2" t="s">
        <v>315</v>
      </c>
    </row>
    <row r="430" spans="1:7" x14ac:dyDescent="0.2">
      <c r="A430" s="18" t="s">
        <v>306</v>
      </c>
      <c r="B430" s="18"/>
      <c r="C430" s="18"/>
      <c r="D430" s="18"/>
      <c r="E430" s="18"/>
      <c r="F430" s="18"/>
      <c r="G430" s="18"/>
    </row>
    <row r="431" spans="1:7" x14ac:dyDescent="0.2">
      <c r="A431" s="18"/>
      <c r="B431" s="18"/>
      <c r="C431" s="18"/>
      <c r="D431" s="18"/>
      <c r="E431" s="18"/>
      <c r="F431" s="18"/>
      <c r="G431" s="18"/>
    </row>
    <row r="432" spans="1:7" x14ac:dyDescent="0.2">
      <c r="A432" s="230" t="s">
        <v>322</v>
      </c>
      <c r="B432" s="230"/>
      <c r="C432" s="230"/>
      <c r="D432" s="230"/>
      <c r="E432" s="230"/>
      <c r="F432" s="230"/>
      <c r="G432" s="230"/>
    </row>
    <row r="433" spans="1:7" x14ac:dyDescent="0.2">
      <c r="A433" s="18"/>
      <c r="B433" s="18"/>
      <c r="C433" s="18"/>
      <c r="D433" s="18"/>
      <c r="E433" s="18"/>
      <c r="F433" s="18"/>
      <c r="G433" s="18"/>
    </row>
    <row r="434" spans="1:7" x14ac:dyDescent="0.2">
      <c r="A434" s="18"/>
      <c r="B434" s="18"/>
      <c r="C434" s="18"/>
      <c r="D434" s="18"/>
      <c r="E434" s="18"/>
      <c r="F434" s="18"/>
      <c r="G434" s="18"/>
    </row>
    <row r="435" spans="1:7" x14ac:dyDescent="0.2">
      <c r="A435" s="18"/>
      <c r="B435" s="18"/>
      <c r="C435" s="18"/>
      <c r="D435" s="18"/>
      <c r="E435" s="18"/>
      <c r="F435" s="18"/>
      <c r="G435" s="18"/>
    </row>
    <row r="436" spans="1:7" s="52" customFormat="1" x14ac:dyDescent="0.2">
      <c r="A436" s="52" t="s">
        <v>321</v>
      </c>
      <c r="E436" s="1"/>
      <c r="F436" s="1"/>
      <c r="G436" s="1"/>
    </row>
    <row r="437" spans="1:7" s="52" customFormat="1" x14ac:dyDescent="0.2">
      <c r="A437" s="52" t="s">
        <v>324</v>
      </c>
      <c r="E437" s="1"/>
      <c r="F437" s="1"/>
      <c r="G437" s="1"/>
    </row>
    <row r="438" spans="1:7" s="52" customFormat="1" x14ac:dyDescent="0.2">
      <c r="A438" s="52" t="s">
        <v>325</v>
      </c>
      <c r="E438" s="1"/>
      <c r="F438" s="1"/>
      <c r="G438" s="1"/>
    </row>
    <row r="439" spans="1:7" s="52" customFormat="1" x14ac:dyDescent="0.2">
      <c r="E439" s="1"/>
      <c r="F439" s="1"/>
      <c r="G439" s="1" t="s">
        <v>230</v>
      </c>
    </row>
    <row r="440" spans="1:7" x14ac:dyDescent="0.2">
      <c r="G440" s="190"/>
    </row>
    <row r="441" spans="1:7" x14ac:dyDescent="0.2">
      <c r="G441" s="1" t="s">
        <v>318</v>
      </c>
    </row>
  </sheetData>
  <mergeCells count="343">
    <mergeCell ref="A208:C208"/>
    <mergeCell ref="A209:C209"/>
    <mergeCell ref="A210:D211"/>
    <mergeCell ref="A195:D196"/>
    <mergeCell ref="A432:G432"/>
    <mergeCell ref="A178:D178"/>
    <mergeCell ref="A199:D199"/>
    <mergeCell ref="A200:D200"/>
    <mergeCell ref="A206:D206"/>
    <mergeCell ref="A427:G427"/>
    <mergeCell ref="G263:G265"/>
    <mergeCell ref="A276:C276"/>
    <mergeCell ref="A271:C271"/>
    <mergeCell ref="A282:C282"/>
    <mergeCell ref="A283:C283"/>
    <mergeCell ref="A419:G419"/>
    <mergeCell ref="A425:G425"/>
    <mergeCell ref="A361:D361"/>
    <mergeCell ref="A367:D367"/>
    <mergeCell ref="A373:D373"/>
    <mergeCell ref="A374:C374"/>
    <mergeCell ref="A344:D344"/>
    <mergeCell ref="A352:D352"/>
    <mergeCell ref="A323:C323"/>
    <mergeCell ref="A148:D148"/>
    <mergeCell ref="A165:D165"/>
    <mergeCell ref="A149:C149"/>
    <mergeCell ref="A150:C150"/>
    <mergeCell ref="A160:C160"/>
    <mergeCell ref="A205:D205"/>
    <mergeCell ref="A174:C174"/>
    <mergeCell ref="A170:D170"/>
    <mergeCell ref="A171:D171"/>
    <mergeCell ref="A183:D183"/>
    <mergeCell ref="A203:D203"/>
    <mergeCell ref="A121:D121"/>
    <mergeCell ref="A168:D168"/>
    <mergeCell ref="A126:D126"/>
    <mergeCell ref="A134:C134"/>
    <mergeCell ref="A135:C135"/>
    <mergeCell ref="A143:C143"/>
    <mergeCell ref="A144:C144"/>
    <mergeCell ref="A125:D125"/>
    <mergeCell ref="A139:D139"/>
    <mergeCell ref="A145:D145"/>
    <mergeCell ref="A147:D147"/>
    <mergeCell ref="A166:C166"/>
    <mergeCell ref="A167:C167"/>
    <mergeCell ref="A155:D155"/>
    <mergeCell ref="A161:D161"/>
    <mergeCell ref="A127:D127"/>
    <mergeCell ref="A159:C159"/>
    <mergeCell ref="A138:D138"/>
    <mergeCell ref="A129:C129"/>
    <mergeCell ref="A163:D163"/>
    <mergeCell ref="A130:C130"/>
    <mergeCell ref="A140:D140"/>
    <mergeCell ref="A141:D141"/>
    <mergeCell ref="A142:D142"/>
    <mergeCell ref="A62:D62"/>
    <mergeCell ref="A64:D64"/>
    <mergeCell ref="A67:C67"/>
    <mergeCell ref="A68:C68"/>
    <mergeCell ref="A71:D71"/>
    <mergeCell ref="A69:D69"/>
    <mergeCell ref="A72:C72"/>
    <mergeCell ref="A73:C73"/>
    <mergeCell ref="F263:F265"/>
    <mergeCell ref="E228:E229"/>
    <mergeCell ref="A122:D122"/>
    <mergeCell ref="A124:D124"/>
    <mergeCell ref="A106:C106"/>
    <mergeCell ref="A107:C107"/>
    <mergeCell ref="A223:D223"/>
    <mergeCell ref="A226:C226"/>
    <mergeCell ref="A120:D120"/>
    <mergeCell ref="A79:C79"/>
    <mergeCell ref="A93:C93"/>
    <mergeCell ref="A108:D108"/>
    <mergeCell ref="A109:D109"/>
    <mergeCell ref="A111:D111"/>
    <mergeCell ref="A113:C113"/>
    <mergeCell ref="A114:C114"/>
    <mergeCell ref="A32:C32"/>
    <mergeCell ref="A61:C61"/>
    <mergeCell ref="G99:G100"/>
    <mergeCell ref="E99:E100"/>
    <mergeCell ref="G115:G116"/>
    <mergeCell ref="E121:E122"/>
    <mergeCell ref="F121:F122"/>
    <mergeCell ref="G121:G122"/>
    <mergeCell ref="A99:D99"/>
    <mergeCell ref="A42:D42"/>
    <mergeCell ref="A65:D65"/>
    <mergeCell ref="F115:F116"/>
    <mergeCell ref="A87:D87"/>
    <mergeCell ref="A91:C91"/>
    <mergeCell ref="A92:C92"/>
    <mergeCell ref="A88:D88"/>
    <mergeCell ref="A90:D90"/>
    <mergeCell ref="A74:D74"/>
    <mergeCell ref="A36:D36"/>
    <mergeCell ref="A37:C37"/>
    <mergeCell ref="A38:C38"/>
    <mergeCell ref="A57:D57"/>
    <mergeCell ref="A56:D56"/>
    <mergeCell ref="F99:F100"/>
    <mergeCell ref="E115:E116"/>
    <mergeCell ref="A116:D116"/>
    <mergeCell ref="A39:D39"/>
    <mergeCell ref="A33:D33"/>
    <mergeCell ref="A76:D76"/>
    <mergeCell ref="A27:C27"/>
    <mergeCell ref="A104:C104"/>
    <mergeCell ref="A81:D81"/>
    <mergeCell ref="A85:C85"/>
    <mergeCell ref="A80:D80"/>
    <mergeCell ref="A84:D84"/>
    <mergeCell ref="A86:C86"/>
    <mergeCell ref="A44:C44"/>
    <mergeCell ref="A43:C43"/>
    <mergeCell ref="A45:D45"/>
    <mergeCell ref="A50:D50"/>
    <mergeCell ref="A51:D51"/>
    <mergeCell ref="A58:C58"/>
    <mergeCell ref="A59:C59"/>
    <mergeCell ref="A60:C60"/>
    <mergeCell ref="A103:D103"/>
    <mergeCell ref="A40:D40"/>
    <mergeCell ref="A30:D30"/>
    <mergeCell ref="A54:D54"/>
    <mergeCell ref="A28:D28"/>
    <mergeCell ref="A31:C31"/>
    <mergeCell ref="A19:C19"/>
    <mergeCell ref="A26:C26"/>
    <mergeCell ref="A21:C21"/>
    <mergeCell ref="A20:C20"/>
    <mergeCell ref="A25:C25"/>
    <mergeCell ref="A1:G1"/>
    <mergeCell ref="A8:C8"/>
    <mergeCell ref="A18:C18"/>
    <mergeCell ref="A10:D10"/>
    <mergeCell ref="A11:D11"/>
    <mergeCell ref="A15:D15"/>
    <mergeCell ref="A17:D17"/>
    <mergeCell ref="A22:D22"/>
    <mergeCell ref="A5:G5"/>
    <mergeCell ref="A4:G4"/>
    <mergeCell ref="A24:D24"/>
    <mergeCell ref="A3:G3"/>
    <mergeCell ref="A9:D9"/>
    <mergeCell ref="F6:G6"/>
    <mergeCell ref="A346:C346"/>
    <mergeCell ref="A401:D401"/>
    <mergeCell ref="A389:D389"/>
    <mergeCell ref="A362:C362"/>
    <mergeCell ref="A338:D338"/>
    <mergeCell ref="A342:D342"/>
    <mergeCell ref="A363:C363"/>
    <mergeCell ref="A365:D365"/>
    <mergeCell ref="A383:D383"/>
    <mergeCell ref="A348:C348"/>
    <mergeCell ref="A349:D349"/>
    <mergeCell ref="A350:D350"/>
    <mergeCell ref="A353:C353"/>
    <mergeCell ref="A416:C416"/>
    <mergeCell ref="A395:C395"/>
    <mergeCell ref="A396:C396"/>
    <mergeCell ref="A397:C397"/>
    <mergeCell ref="A398:D398"/>
    <mergeCell ref="A399:D399"/>
    <mergeCell ref="A384:C384"/>
    <mergeCell ref="A385:C385"/>
    <mergeCell ref="A390:C390"/>
    <mergeCell ref="A391:C391"/>
    <mergeCell ref="A394:D394"/>
    <mergeCell ref="A404:D404"/>
    <mergeCell ref="A392:D392"/>
    <mergeCell ref="A400:G400"/>
    <mergeCell ref="A386:C386"/>
    <mergeCell ref="A402:C402"/>
    <mergeCell ref="A403:C403"/>
    <mergeCell ref="A405:D405"/>
    <mergeCell ref="A408:C408"/>
    <mergeCell ref="A409:C409"/>
    <mergeCell ref="A410:D410"/>
    <mergeCell ref="A407:D407"/>
    <mergeCell ref="A248:C248"/>
    <mergeCell ref="A249:C249"/>
    <mergeCell ref="A234:D234"/>
    <mergeCell ref="A316:C316"/>
    <mergeCell ref="A221:C221"/>
    <mergeCell ref="A222:C222"/>
    <mergeCell ref="A311:D311"/>
    <mergeCell ref="A319:D319"/>
    <mergeCell ref="A318:C318"/>
    <mergeCell ref="A242:C242"/>
    <mergeCell ref="A244:C244"/>
    <mergeCell ref="A281:D281"/>
    <mergeCell ref="A334:D334"/>
    <mergeCell ref="A231:D231"/>
    <mergeCell ref="A263:D265"/>
    <mergeCell ref="A370:D370"/>
    <mergeCell ref="A227:C227"/>
    <mergeCell ref="A336:C336"/>
    <mergeCell ref="A216:C216"/>
    <mergeCell ref="A217:C217"/>
    <mergeCell ref="A218:D218"/>
    <mergeCell ref="A287:D287"/>
    <mergeCell ref="A314:D314"/>
    <mergeCell ref="A321:D321"/>
    <mergeCell ref="A358:D358"/>
    <mergeCell ref="A291:C291"/>
    <mergeCell ref="A292:C292"/>
    <mergeCell ref="A354:C354"/>
    <mergeCell ref="A335:C335"/>
    <mergeCell ref="A312:D312"/>
    <mergeCell ref="A347:C347"/>
    <mergeCell ref="A329:C329"/>
    <mergeCell ref="A330:C330"/>
    <mergeCell ref="A317:C317"/>
    <mergeCell ref="A345:D345"/>
    <mergeCell ref="A315:D315"/>
    <mergeCell ref="A220:D220"/>
    <mergeCell ref="A417:C417"/>
    <mergeCell ref="A278:D278"/>
    <mergeCell ref="A256:C256"/>
    <mergeCell ref="A235:C235"/>
    <mergeCell ref="A236:C236"/>
    <mergeCell ref="A252:G252"/>
    <mergeCell ref="A304:C304"/>
    <mergeCell ref="A305:C305"/>
    <mergeCell ref="A306:C306"/>
    <mergeCell ref="A307:C307"/>
    <mergeCell ref="A308:C308"/>
    <mergeCell ref="A309:C309"/>
    <mergeCell ref="A303:D303"/>
    <mergeCell ref="A288:D288"/>
    <mergeCell ref="A280:D280"/>
    <mergeCell ref="A375:C375"/>
    <mergeCell ref="E358:E359"/>
    <mergeCell ref="F358:F359"/>
    <mergeCell ref="G358:G359"/>
    <mergeCell ref="A368:C368"/>
    <mergeCell ref="A369:C369"/>
    <mergeCell ref="A371:D371"/>
    <mergeCell ref="A415:D415"/>
    <mergeCell ref="F228:F229"/>
    <mergeCell ref="G228:G229"/>
    <mergeCell ref="A277:C277"/>
    <mergeCell ref="E263:E265"/>
    <mergeCell ref="A254:C254"/>
    <mergeCell ref="A324:D324"/>
    <mergeCell ref="A325:D325"/>
    <mergeCell ref="A326:D326"/>
    <mergeCell ref="A328:D328"/>
    <mergeCell ref="E325:E326"/>
    <mergeCell ref="F325:F326"/>
    <mergeCell ref="A269:C269"/>
    <mergeCell ref="A261:C261"/>
    <mergeCell ref="A270:C270"/>
    <mergeCell ref="E230:E231"/>
    <mergeCell ref="F230:F231"/>
    <mergeCell ref="G230:G231"/>
    <mergeCell ref="A268:D268"/>
    <mergeCell ref="A273:D273"/>
    <mergeCell ref="A255:C255"/>
    <mergeCell ref="A245:D245"/>
    <mergeCell ref="A262:C262"/>
    <mergeCell ref="A258:D258"/>
    <mergeCell ref="A243:C243"/>
    <mergeCell ref="A35:D35"/>
    <mergeCell ref="A102:D102"/>
    <mergeCell ref="A240:D240"/>
    <mergeCell ref="A247:D247"/>
    <mergeCell ref="A253:D253"/>
    <mergeCell ref="A260:D260"/>
    <mergeCell ref="A267:D267"/>
    <mergeCell ref="A275:D275"/>
    <mergeCell ref="A176:D176"/>
    <mergeCell ref="A181:C181"/>
    <mergeCell ref="A182:C182"/>
    <mergeCell ref="A131:D131"/>
    <mergeCell ref="A136:D136"/>
    <mergeCell ref="A133:D133"/>
    <mergeCell ref="A215:D215"/>
    <mergeCell ref="A78:C78"/>
    <mergeCell ref="A154:D154"/>
    <mergeCell ref="A157:D157"/>
    <mergeCell ref="A214:D214"/>
    <mergeCell ref="A201:C201"/>
    <mergeCell ref="A207:D207"/>
    <mergeCell ref="A257:D257"/>
    <mergeCell ref="A175:D175"/>
    <mergeCell ref="A164:D164"/>
    <mergeCell ref="A53:D53"/>
    <mergeCell ref="A156:D156"/>
    <mergeCell ref="A66:D66"/>
    <mergeCell ref="A128:D128"/>
    <mergeCell ref="A172:D172"/>
    <mergeCell ref="A158:D158"/>
    <mergeCell ref="A241:D241"/>
    <mergeCell ref="A77:D77"/>
    <mergeCell ref="A112:D112"/>
    <mergeCell ref="A153:D153"/>
    <mergeCell ref="A83:D83"/>
    <mergeCell ref="A192:D192"/>
    <mergeCell ref="A198:D198"/>
    <mergeCell ref="A173:C173"/>
    <mergeCell ref="A189:D189"/>
    <mergeCell ref="A193:C193"/>
    <mergeCell ref="A55:D55"/>
    <mergeCell ref="A213:D213"/>
    <mergeCell ref="A179:D179"/>
    <mergeCell ref="A180:D180"/>
    <mergeCell ref="A186:D186"/>
    <mergeCell ref="A185:D185"/>
    <mergeCell ref="A191:D191"/>
    <mergeCell ref="A187:C187"/>
    <mergeCell ref="A421:G421"/>
    <mergeCell ref="A225:D225"/>
    <mergeCell ref="A382:D382"/>
    <mergeCell ref="A233:D233"/>
    <mergeCell ref="A284:D284"/>
    <mergeCell ref="E210:E211"/>
    <mergeCell ref="F210:F211"/>
    <mergeCell ref="G210:G211"/>
    <mergeCell ref="E195:E196"/>
    <mergeCell ref="E311:E312"/>
    <mergeCell ref="F311:F312"/>
    <mergeCell ref="G311:G312"/>
    <mergeCell ref="A230:D230"/>
    <mergeCell ref="A228:D228"/>
    <mergeCell ref="G325:G326"/>
    <mergeCell ref="E337:E338"/>
    <mergeCell ref="F337:F338"/>
    <mergeCell ref="G337:G338"/>
    <mergeCell ref="F195:F196"/>
    <mergeCell ref="G195:G196"/>
    <mergeCell ref="A289:C289"/>
    <mergeCell ref="A290:C290"/>
    <mergeCell ref="A285:D285"/>
    <mergeCell ref="A322:C322"/>
  </mergeCells>
  <pageMargins left="0.70866141732283472" right="0.11811023622047245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Opcina ferdinandovac</cp:lastModifiedBy>
  <cp:lastPrinted>2025-06-18T09:36:51Z</cp:lastPrinted>
  <dcterms:created xsi:type="dcterms:W3CDTF">2022-08-12T12:51:27Z</dcterms:created>
  <dcterms:modified xsi:type="dcterms:W3CDTF">2025-06-18T10:02:01Z</dcterms:modified>
</cp:coreProperties>
</file>