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Radna površina Helena\OV\saziv 2021-2025\40 sjednica OV 2024\gotove odluke\"/>
    </mc:Choice>
  </mc:AlternateContent>
  <xr:revisionPtr revIDLastSave="0" documentId="13_ncr:1_{39EBC9CC-0949-4959-B97E-C3DA068217BE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SAŽETAK" sheetId="1" r:id="rId1"/>
    <sheet name=" Račun prihoda i rashoda" sheetId="3" r:id="rId2"/>
    <sheet name="Prihodi i rashodi po izvorima" sheetId="11" r:id="rId3"/>
    <sheet name="Rashodi prema funkcijskoj kl" sheetId="5" r:id="rId4"/>
    <sheet name="Račun financiranja" sheetId="6" r:id="rId5"/>
    <sheet name="POSEBNI DIO" sheetId="7" r:id="rId6"/>
    <sheet name="ne" sheetId="13" state="hidden" r:id="rId7"/>
    <sheet name="Prihodi radni primjer" sheetId="19" state="hidden" r:id="rId8"/>
    <sheet name="Rashodi radni primjer " sheetId="10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1" l="1"/>
  <c r="H55" i="11"/>
  <c r="H292" i="7"/>
  <c r="H291" i="7"/>
  <c r="H60" i="11"/>
  <c r="H83" i="11"/>
  <c r="H88" i="11"/>
  <c r="G59" i="11"/>
  <c r="G82" i="11"/>
  <c r="I306" i="7"/>
  <c r="I273" i="7"/>
  <c r="I272" i="7"/>
  <c r="I265" i="7"/>
  <c r="I266" i="7"/>
  <c r="I248" i="7"/>
  <c r="I247" i="7"/>
  <c r="I233" i="7"/>
  <c r="I232" i="7"/>
  <c r="I206" i="7"/>
  <c r="I205" i="7"/>
  <c r="I195" i="7"/>
  <c r="I197" i="7"/>
  <c r="I194" i="7"/>
  <c r="I188" i="7"/>
  <c r="I181" i="7"/>
  <c r="I111" i="7"/>
  <c r="I112" i="7"/>
  <c r="I107" i="7"/>
  <c r="I52" i="7"/>
  <c r="I37" i="7"/>
  <c r="D11" i="5"/>
  <c r="G14" i="11"/>
  <c r="H22" i="1"/>
  <c r="G57" i="11"/>
  <c r="G52" i="11" s="1"/>
  <c r="G51" i="11" s="1"/>
  <c r="F42" i="3"/>
  <c r="H19" i="1"/>
  <c r="F58" i="3" l="1"/>
  <c r="F56" i="3"/>
  <c r="F52" i="3"/>
  <c r="F50" i="3"/>
  <c r="F48" i="3"/>
  <c r="F46" i="3"/>
  <c r="F44" i="3"/>
  <c r="F40" i="3"/>
  <c r="D37" i="5"/>
  <c r="D24" i="5"/>
  <c r="D27" i="5"/>
  <c r="D22" i="5"/>
  <c r="D10" i="5"/>
  <c r="G24" i="11"/>
  <c r="G20" i="11"/>
  <c r="G21" i="11"/>
  <c r="G22" i="11"/>
  <c r="G17" i="11"/>
  <c r="G18" i="11"/>
  <c r="G13" i="11"/>
  <c r="G10" i="11"/>
  <c r="N4" i="19"/>
  <c r="F18" i="3"/>
  <c r="H24" i="7"/>
  <c r="H21" i="7" s="1"/>
  <c r="H46" i="7"/>
  <c r="H42" i="7"/>
  <c r="H40" i="7" s="1"/>
  <c r="H397" i="7"/>
  <c r="H390" i="7"/>
  <c r="H387" i="7" s="1"/>
  <c r="H386" i="7" s="1"/>
  <c r="H385" i="7"/>
  <c r="H384" i="7"/>
  <c r="H373" i="7"/>
  <c r="H345" i="7"/>
  <c r="H316" i="7"/>
  <c r="H296" i="7"/>
  <c r="H295" i="7"/>
  <c r="H294" i="7"/>
  <c r="H285" i="7"/>
  <c r="H284" i="7"/>
  <c r="H281" i="7"/>
  <c r="H258" i="7"/>
  <c r="H235" i="7"/>
  <c r="H234" i="7" s="1"/>
  <c r="H228" i="7"/>
  <c r="H227" i="7" s="1"/>
  <c r="H225" i="7"/>
  <c r="H219" i="7"/>
  <c r="H207" i="7"/>
  <c r="H190" i="7"/>
  <c r="H185" i="7" s="1"/>
  <c r="H161" i="7"/>
  <c r="H156" i="7" s="1"/>
  <c r="H153" i="7"/>
  <c r="H140" i="7"/>
  <c r="H135" i="7"/>
  <c r="H129" i="7"/>
  <c r="H124" i="7"/>
  <c r="H98" i="7"/>
  <c r="H76" i="7"/>
  <c r="H65" i="7"/>
  <c r="H62" i="7" s="1"/>
  <c r="H55" i="7"/>
  <c r="I55" i="7" s="1"/>
  <c r="I56" i="7"/>
  <c r="H54" i="7"/>
  <c r="I54" i="7" s="1"/>
  <c r="H18" i="7"/>
  <c r="H283" i="7" l="1"/>
  <c r="H277" i="7" s="1"/>
  <c r="H293" i="7"/>
  <c r="H288" i="7" s="1"/>
  <c r="H287" i="7" s="1"/>
  <c r="H383" i="7"/>
  <c r="H380" i="7" s="1"/>
  <c r="H53" i="7"/>
  <c r="I53" i="7" s="1"/>
  <c r="N27" i="19"/>
  <c r="L108" i="10"/>
  <c r="K63" i="10"/>
  <c r="K66" i="10"/>
  <c r="K68" i="10"/>
  <c r="K70" i="10"/>
  <c r="K71" i="10"/>
  <c r="K72" i="10"/>
  <c r="K73" i="10"/>
  <c r="K74" i="10"/>
  <c r="K77" i="10"/>
  <c r="K78" i="10"/>
  <c r="K79" i="10"/>
  <c r="K82" i="10"/>
  <c r="K83" i="10"/>
  <c r="K85" i="10"/>
  <c r="K87" i="10"/>
  <c r="K88" i="10"/>
  <c r="K89" i="10"/>
  <c r="K90" i="10"/>
  <c r="K92" i="10"/>
  <c r="K96" i="10"/>
  <c r="K98" i="10"/>
  <c r="K101" i="10"/>
  <c r="K102" i="10"/>
  <c r="K103" i="10"/>
  <c r="K108" i="10"/>
  <c r="K109" i="10"/>
  <c r="K111" i="10"/>
  <c r="K112" i="10"/>
  <c r="H50" i="7" l="1"/>
  <c r="I50" i="7" s="1"/>
  <c r="K554" i="10"/>
  <c r="N335" i="10" l="1"/>
  <c r="N327" i="10"/>
  <c r="N311" i="10"/>
  <c r="N251" i="10"/>
  <c r="N248" i="10"/>
  <c r="N243" i="10"/>
  <c r="N454" i="10"/>
  <c r="N227" i="10"/>
  <c r="N558" i="10"/>
  <c r="N266" i="10"/>
  <c r="N261" i="10" s="1"/>
  <c r="N294" i="10"/>
  <c r="N272" i="10"/>
  <c r="N667" i="10"/>
  <c r="N662" i="10" s="1"/>
  <c r="N646" i="10"/>
  <c r="N644" i="10"/>
  <c r="N679" i="10"/>
  <c r="N626" i="10"/>
  <c r="N617" i="10"/>
  <c r="N613" i="10"/>
  <c r="N608" i="10" s="1"/>
  <c r="N586" i="10"/>
  <c r="N567" i="10"/>
  <c r="N576" i="10"/>
  <c r="N549" i="10"/>
  <c r="N546" i="10"/>
  <c r="N463" i="10"/>
  <c r="N484" i="10"/>
  <c r="N473" i="10" s="1"/>
  <c r="N433" i="10"/>
  <c r="N431" i="10"/>
  <c r="N409" i="10"/>
  <c r="N406" i="10"/>
  <c r="N387" i="10"/>
  <c r="N376" i="10"/>
  <c r="N361" i="10"/>
  <c r="N352" i="10"/>
  <c r="N597" i="10"/>
  <c r="N303" i="10"/>
  <c r="N705" i="10"/>
  <c r="N700" i="10" s="1"/>
  <c r="N282" i="10"/>
  <c r="N224" i="10"/>
  <c r="N219" i="10" s="1"/>
  <c r="N200" i="10"/>
  <c r="N195" i="10" s="1"/>
  <c r="N184" i="10"/>
  <c r="N179" i="10" s="1"/>
  <c r="N163" i="10"/>
  <c r="N166" i="10"/>
  <c r="N158" i="10" s="1"/>
  <c r="N142" i="10"/>
  <c r="N123" i="10"/>
  <c r="N115" i="10" s="1"/>
  <c r="N70" i="10"/>
  <c r="N108" i="10"/>
  <c r="N107" i="10"/>
  <c r="N97" i="10"/>
  <c r="N90" i="10"/>
  <c r="N74" i="10"/>
  <c r="N59" i="10"/>
  <c r="N440" i="10"/>
  <c r="N39" i="10"/>
  <c r="N29" i="10" s="1"/>
  <c r="N18" i="10"/>
  <c r="N13" i="10"/>
  <c r="L3" i="10" l="1"/>
  <c r="N65" i="19" s="1"/>
  <c r="N235" i="10"/>
  <c r="N8" i="10"/>
  <c r="N401" i="10"/>
  <c r="N636" i="10"/>
  <c r="N426" i="10"/>
  <c r="N542" i="10"/>
  <c r="N54" i="10"/>
  <c r="O51" i="19" l="1"/>
  <c r="O60" i="19"/>
  <c r="P51" i="19"/>
  <c r="P28" i="19"/>
  <c r="P11" i="19"/>
  <c r="P4" i="19"/>
  <c r="P61" i="19" s="1"/>
  <c r="N2" i="19" l="1"/>
  <c r="J698" i="10"/>
  <c r="J697" i="10" s="1"/>
  <c r="J689" i="10"/>
  <c r="J687" i="10" s="1"/>
  <c r="J677" i="10"/>
  <c r="J636" i="10"/>
  <c r="J634" i="10" s="1"/>
  <c r="J624" i="10"/>
  <c r="J615" i="10"/>
  <c r="J606" i="10"/>
  <c r="J595" i="10"/>
  <c r="J584" i="10"/>
  <c r="J574" i="10"/>
  <c r="K546" i="10"/>
  <c r="J542" i="10"/>
  <c r="J540" i="10" s="1"/>
  <c r="J490" i="10"/>
  <c r="J471" i="10"/>
  <c r="J462" i="10"/>
  <c r="J440" i="10"/>
  <c r="K431" i="10"/>
  <c r="J430" i="10"/>
  <c r="J432" i="10"/>
  <c r="J399" i="10"/>
  <c r="J361" i="10"/>
  <c r="J359" i="10" s="1"/>
  <c r="J335" i="10"/>
  <c r="K343" i="10"/>
  <c r="K344" i="10"/>
  <c r="K345" i="10"/>
  <c r="K342" i="10"/>
  <c r="J311" i="10"/>
  <c r="J282" i="10"/>
  <c r="J267" i="10"/>
  <c r="J261" i="10" s="1"/>
  <c r="J239" i="10"/>
  <c r="J235" i="10" s="1"/>
  <c r="J223" i="10"/>
  <c r="J222" i="10" s="1"/>
  <c r="J221" i="10" s="1"/>
  <c r="K221" i="10" s="1"/>
  <c r="J192" i="10"/>
  <c r="J191" i="10" s="1"/>
  <c r="K206" i="10"/>
  <c r="K178" i="10"/>
  <c r="J162" i="10"/>
  <c r="J165" i="10"/>
  <c r="J146" i="10"/>
  <c r="J145" i="10" s="1"/>
  <c r="J144" i="10" s="1"/>
  <c r="J142" i="10" s="1"/>
  <c r="J60" i="10"/>
  <c r="J57" i="10" s="1"/>
  <c r="J69" i="10"/>
  <c r="J80" i="10"/>
  <c r="J106" i="10"/>
  <c r="J46" i="10"/>
  <c r="J45" i="10" s="1"/>
  <c r="J44" i="10" s="1"/>
  <c r="J42" i="10" s="1"/>
  <c r="K43" i="10"/>
  <c r="K30" i="10"/>
  <c r="J12" i="10"/>
  <c r="J19" i="10"/>
  <c r="G198" i="7"/>
  <c r="G192" i="7" s="1"/>
  <c r="G260" i="7"/>
  <c r="G183" i="7"/>
  <c r="G177" i="7" s="1"/>
  <c r="G175" i="7"/>
  <c r="G169" i="7" s="1"/>
  <c r="H307" i="7"/>
  <c r="G311" i="7"/>
  <c r="F17" i="7"/>
  <c r="F14" i="7" s="1"/>
  <c r="F24" i="7"/>
  <c r="F23" i="7" s="1"/>
  <c r="F21" i="7" s="1"/>
  <c r="F30" i="7"/>
  <c r="F27" i="7" s="1"/>
  <c r="F29" i="7" s="1"/>
  <c r="F42" i="7"/>
  <c r="F40" i="7" s="1"/>
  <c r="F35" i="7" s="1"/>
  <c r="F46" i="7"/>
  <c r="F43" i="7" s="1"/>
  <c r="F45" i="7" s="1"/>
  <c r="F60" i="7"/>
  <c r="F57" i="7" s="1"/>
  <c r="F59" i="7" s="1"/>
  <c r="F65" i="7"/>
  <c r="F62" i="7" s="1"/>
  <c r="F70" i="7"/>
  <c r="F67" i="7" s="1"/>
  <c r="F69" i="7" s="1"/>
  <c r="F76" i="7"/>
  <c r="F73" i="7" s="1"/>
  <c r="F82" i="7"/>
  <c r="F79" i="7" s="1"/>
  <c r="F91" i="7"/>
  <c r="F87" i="7" s="1"/>
  <c r="F98" i="7"/>
  <c r="F95" i="7" s="1"/>
  <c r="F113" i="7"/>
  <c r="F104" i="7" s="1"/>
  <c r="F118" i="7"/>
  <c r="F115" i="7" s="1"/>
  <c r="F117" i="7" s="1"/>
  <c r="F124" i="7"/>
  <c r="F123" i="7" s="1"/>
  <c r="F120" i="7" s="1"/>
  <c r="F122" i="7" s="1"/>
  <c r="F128" i="7"/>
  <c r="F125" i="7" s="1"/>
  <c r="F127" i="7" s="1"/>
  <c r="F134" i="7"/>
  <c r="F130" i="7" s="1"/>
  <c r="F140" i="7"/>
  <c r="F136" i="7" s="1"/>
  <c r="F147" i="7"/>
  <c r="F142" i="7" s="1"/>
  <c r="F153" i="7"/>
  <c r="F150" i="7" s="1"/>
  <c r="F161" i="7"/>
  <c r="F156" i="7" s="1"/>
  <c r="F167" i="7"/>
  <c r="F163" i="7" s="1"/>
  <c r="F175" i="7"/>
  <c r="F169" i="7" s="1"/>
  <c r="F183" i="7"/>
  <c r="F190" i="7"/>
  <c r="F198" i="7"/>
  <c r="F192" i="7" s="1"/>
  <c r="F207" i="7"/>
  <c r="F202" i="7" s="1"/>
  <c r="F200" i="7" s="1"/>
  <c r="F214" i="7"/>
  <c r="F213" i="7" s="1"/>
  <c r="F210" i="7" s="1"/>
  <c r="F219" i="7"/>
  <c r="F216" i="7" s="1"/>
  <c r="F218" i="7" s="1"/>
  <c r="F227" i="7"/>
  <c r="F221" i="7" s="1"/>
  <c r="F235" i="7"/>
  <c r="F234" i="7" s="1"/>
  <c r="F230" i="7" s="1"/>
  <c r="F241" i="7"/>
  <c r="F238" i="7" s="1"/>
  <c r="F249" i="7"/>
  <c r="F251" i="7"/>
  <c r="F259" i="7"/>
  <c r="F258" i="7" s="1"/>
  <c r="F260" i="7"/>
  <c r="F267" i="7"/>
  <c r="F262" i="7" s="1"/>
  <c r="F274" i="7"/>
  <c r="F269" i="7" s="1"/>
  <c r="F281" i="7"/>
  <c r="F283" i="7"/>
  <c r="F291" i="7"/>
  <c r="F292" i="7"/>
  <c r="F293" i="7"/>
  <c r="F297" i="7"/>
  <c r="F307" i="7"/>
  <c r="F311" i="7"/>
  <c r="F316" i="7"/>
  <c r="F313" i="7" s="1"/>
  <c r="F315" i="7" s="1"/>
  <c r="F323" i="7"/>
  <c r="F319" i="7" s="1"/>
  <c r="F318" i="7" s="1"/>
  <c r="F329" i="7"/>
  <c r="F326" i="7" s="1"/>
  <c r="F325" i="7" s="1"/>
  <c r="F338" i="7"/>
  <c r="F334" i="7" s="1"/>
  <c r="F333" i="7" s="1"/>
  <c r="F345" i="7"/>
  <c r="F342" i="7" s="1"/>
  <c r="F341" i="7" s="1"/>
  <c r="F353" i="7"/>
  <c r="F349" i="7" s="1"/>
  <c r="F359" i="7"/>
  <c r="F356" i="7" s="1"/>
  <c r="F365" i="7"/>
  <c r="F362" i="7" s="1"/>
  <c r="F372" i="7"/>
  <c r="F369" i="7" s="1"/>
  <c r="F378" i="7"/>
  <c r="F375" i="7" s="1"/>
  <c r="F377" i="7" s="1"/>
  <c r="F383" i="7"/>
  <c r="F380" i="7" s="1"/>
  <c r="F382" i="7" s="1"/>
  <c r="F390" i="7"/>
  <c r="F387" i="7" s="1"/>
  <c r="F386" i="7" s="1"/>
  <c r="F396" i="7"/>
  <c r="F393" i="7" s="1"/>
  <c r="F392" i="7" s="1"/>
  <c r="F404" i="7"/>
  <c r="F401" i="7" s="1"/>
  <c r="F54" i="11"/>
  <c r="I173" i="7"/>
  <c r="G42" i="3"/>
  <c r="G44" i="3"/>
  <c r="G46" i="3"/>
  <c r="G52" i="3"/>
  <c r="G40" i="3"/>
  <c r="G50" i="3"/>
  <c r="F54" i="3"/>
  <c r="G48" i="3"/>
  <c r="G58" i="3"/>
  <c r="E54" i="3"/>
  <c r="H30" i="7"/>
  <c r="H27" i="7" s="1"/>
  <c r="H43" i="7"/>
  <c r="H60" i="7"/>
  <c r="H59" i="7" s="1"/>
  <c r="H73" i="7"/>
  <c r="H72" i="7" s="1"/>
  <c r="H79" i="7"/>
  <c r="H78" i="7" s="1"/>
  <c r="H87" i="7"/>
  <c r="H86" i="7" s="1"/>
  <c r="H95" i="7"/>
  <c r="H94" i="7" s="1"/>
  <c r="H113" i="7"/>
  <c r="H104" i="7" s="1"/>
  <c r="H115" i="7"/>
  <c r="H125" i="7"/>
  <c r="H134" i="7"/>
  <c r="H130" i="7" s="1"/>
  <c r="H136" i="7"/>
  <c r="H147" i="7"/>
  <c r="H142" i="7" s="1"/>
  <c r="H150" i="7"/>
  <c r="H167" i="7"/>
  <c r="H163" i="7" s="1"/>
  <c r="H175" i="7"/>
  <c r="H183" i="7"/>
  <c r="H177" i="7" s="1"/>
  <c r="H198" i="7"/>
  <c r="H192" i="7" s="1"/>
  <c r="H202" i="7"/>
  <c r="H200" i="7" s="1"/>
  <c r="H213" i="7"/>
  <c r="H210" i="7" s="1"/>
  <c r="H216" i="7"/>
  <c r="H221" i="7"/>
  <c r="H230" i="7"/>
  <c r="H229" i="7" s="1"/>
  <c r="H260" i="7"/>
  <c r="H262" i="7"/>
  <c r="H274" i="7"/>
  <c r="H269" i="7" s="1"/>
  <c r="H276" i="7"/>
  <c r="H311" i="7"/>
  <c r="I308" i="7"/>
  <c r="H313" i="7"/>
  <c r="H319" i="7"/>
  <c r="H318" i="7" s="1"/>
  <c r="H326" i="7"/>
  <c r="H325" i="7" s="1"/>
  <c r="H334" i="7"/>
  <c r="H333" i="7" s="1"/>
  <c r="H342" i="7"/>
  <c r="H341" i="7" s="1"/>
  <c r="H349" i="7"/>
  <c r="H348" i="7" s="1"/>
  <c r="H356" i="7"/>
  <c r="H355" i="7" s="1"/>
  <c r="H362" i="7"/>
  <c r="H361" i="7" s="1"/>
  <c r="H372" i="7"/>
  <c r="H371" i="7" s="1"/>
  <c r="H396" i="7"/>
  <c r="H395" i="7" s="1"/>
  <c r="H249" i="7"/>
  <c r="H243" i="7" s="1"/>
  <c r="I184" i="7"/>
  <c r="E183" i="7"/>
  <c r="E182" i="7"/>
  <c r="I182" i="7" s="1"/>
  <c r="I180" i="7"/>
  <c r="H123" i="7"/>
  <c r="H120" i="7" s="1"/>
  <c r="H70" i="7"/>
  <c r="H67" i="7" s="1"/>
  <c r="H17" i="7"/>
  <c r="H14" i="7" s="1"/>
  <c r="L9" i="19"/>
  <c r="J15" i="10"/>
  <c r="J14" i="10" s="1"/>
  <c r="O16" i="10"/>
  <c r="O18" i="10"/>
  <c r="O17" i="10"/>
  <c r="O11" i="10"/>
  <c r="O9" i="10"/>
  <c r="H209" i="7" l="1"/>
  <c r="H13" i="7"/>
  <c r="H12" i="7" s="1"/>
  <c r="H11" i="7" s="1"/>
  <c r="H103" i="7"/>
  <c r="F288" i="7"/>
  <c r="F287" i="7" s="1"/>
  <c r="F64" i="7"/>
  <c r="J605" i="10"/>
  <c r="J583" i="10"/>
  <c r="J426" i="10"/>
  <c r="J415" i="10" s="1"/>
  <c r="J291" i="10"/>
  <c r="J489" i="10"/>
  <c r="J633" i="10"/>
  <c r="N61" i="19"/>
  <c r="J64" i="10"/>
  <c r="J56" i="10" s="1"/>
  <c r="J161" i="10"/>
  <c r="J160" i="10" s="1"/>
  <c r="J158" i="10" s="1"/>
  <c r="J16" i="10"/>
  <c r="J11" i="10"/>
  <c r="J218" i="10"/>
  <c r="J216" i="10" s="1"/>
  <c r="F94" i="7"/>
  <c r="F97" i="7"/>
  <c r="F86" i="7"/>
  <c r="F90" i="7"/>
  <c r="F302" i="7"/>
  <c r="F301" i="7" s="1"/>
  <c r="F243" i="7"/>
  <c r="I177" i="7"/>
  <c r="F277" i="7"/>
  <c r="F276" i="7" s="1"/>
  <c r="F255" i="7"/>
  <c r="F257" i="7" s="1"/>
  <c r="F364" i="7"/>
  <c r="F361" i="7"/>
  <c r="F358" i="7"/>
  <c r="F355" i="7"/>
  <c r="F331" i="7"/>
  <c r="F149" i="7"/>
  <c r="F209" i="7"/>
  <c r="F212" i="7"/>
  <c r="F352" i="7"/>
  <c r="F348" i="7"/>
  <c r="F81" i="7"/>
  <c r="F78" i="7"/>
  <c r="F233" i="7"/>
  <c r="F229" i="7"/>
  <c r="F403" i="7"/>
  <c r="F400" i="7"/>
  <c r="F399" i="7" s="1"/>
  <c r="F371" i="7"/>
  <c r="F368" i="7"/>
  <c r="F367" i="7" s="1"/>
  <c r="F103" i="7"/>
  <c r="F75" i="7"/>
  <c r="F72" i="7"/>
  <c r="F34" i="7"/>
  <c r="F13" i="7"/>
  <c r="F12" i="7" s="1"/>
  <c r="F11" i="7" s="1"/>
  <c r="F395" i="7"/>
  <c r="F389" i="7"/>
  <c r="F344" i="7"/>
  <c r="F328" i="7"/>
  <c r="F322" i="7"/>
  <c r="F206" i="7"/>
  <c r="F16" i="7"/>
  <c r="G54" i="3"/>
  <c r="G56" i="3"/>
  <c r="F39" i="3"/>
  <c r="F38" i="3" s="1"/>
  <c r="H122" i="7"/>
  <c r="H29" i="7"/>
  <c r="H144" i="7"/>
  <c r="H16" i="7"/>
  <c r="H132" i="7"/>
  <c r="H212" i="7"/>
  <c r="H302" i="7"/>
  <c r="H301" i="7" s="1"/>
  <c r="H286" i="7" s="1"/>
  <c r="H57" i="7"/>
  <c r="H69" i="7"/>
  <c r="H255" i="7"/>
  <c r="H237" i="7" s="1"/>
  <c r="H85" i="7"/>
  <c r="H35" i="7"/>
  <c r="H34" i="7" s="1"/>
  <c r="H33" i="7" s="1"/>
  <c r="H331" i="7"/>
  <c r="H393" i="7"/>
  <c r="H392" i="7" s="1"/>
  <c r="H347" i="7"/>
  <c r="H369" i="7"/>
  <c r="H368" i="7" s="1"/>
  <c r="H169" i="7"/>
  <c r="H149" i="7" s="1"/>
  <c r="I183" i="7"/>
  <c r="O21" i="10"/>
  <c r="O19" i="10"/>
  <c r="H101" i="7" l="1"/>
  <c r="F286" i="7"/>
  <c r="H367" i="7"/>
  <c r="F85" i="7"/>
  <c r="F237" i="7"/>
  <c r="F101" i="7" s="1"/>
  <c r="J214" i="10"/>
  <c r="N67" i="19"/>
  <c r="N71" i="19"/>
  <c r="J10" i="10"/>
  <c r="J8" i="10" s="1"/>
  <c r="J54" i="10"/>
  <c r="J51" i="10" s="1"/>
  <c r="J50" i="10" s="1"/>
  <c r="F33" i="7"/>
  <c r="F347" i="7"/>
  <c r="H32" i="7" l="1"/>
  <c r="H10" i="7" s="1"/>
  <c r="F32" i="7"/>
  <c r="F10" i="7" s="1"/>
  <c r="J49" i="10"/>
  <c r="J6" i="10"/>
  <c r="J5" i="10" s="1"/>
  <c r="J4" i="10" s="1"/>
  <c r="J3" i="10" l="1"/>
  <c r="M48" i="19"/>
  <c r="O48" i="19" s="1"/>
  <c r="M20" i="19"/>
  <c r="O20" i="19" s="1"/>
  <c r="M28" i="19"/>
  <c r="O28" i="19" s="1"/>
  <c r="K52" i="19"/>
  <c r="K45" i="19" s="1"/>
  <c r="L45" i="19"/>
  <c r="K28" i="19"/>
  <c r="K11" i="19"/>
  <c r="K9" i="19" s="1"/>
  <c r="K58" i="19"/>
  <c r="K57" i="19" s="1"/>
  <c r="L58" i="19"/>
  <c r="L57" i="19" s="1"/>
  <c r="K55" i="19"/>
  <c r="L55" i="19"/>
  <c r="K30" i="19"/>
  <c r="L30" i="19"/>
  <c r="K3" i="19"/>
  <c r="L3" i="19"/>
  <c r="G69" i="19"/>
  <c r="J69" i="19" s="1"/>
  <c r="J65" i="19"/>
  <c r="G65" i="19"/>
  <c r="J59" i="19"/>
  <c r="J58" i="19" s="1"/>
  <c r="J57" i="19" s="1"/>
  <c r="I59" i="19"/>
  <c r="I58" i="19" s="1"/>
  <c r="I57" i="19" s="1"/>
  <c r="H58" i="19"/>
  <c r="H57" i="19" s="1"/>
  <c r="G58" i="19"/>
  <c r="G57" i="19" s="1"/>
  <c r="F58" i="19"/>
  <c r="F57" i="19" s="1"/>
  <c r="J56" i="19"/>
  <c r="J55" i="19" s="1"/>
  <c r="I55" i="19"/>
  <c r="H55" i="19"/>
  <c r="G55" i="19"/>
  <c r="F55" i="19"/>
  <c r="G54" i="19"/>
  <c r="I54" i="19" s="1"/>
  <c r="J53" i="19"/>
  <c r="M53" i="19" s="1"/>
  <c r="O53" i="19" s="1"/>
  <c r="I53" i="19"/>
  <c r="J52" i="19"/>
  <c r="M52" i="19" s="1"/>
  <c r="O52" i="19" s="1"/>
  <c r="I52" i="19"/>
  <c r="G50" i="19"/>
  <c r="I50" i="19" s="1"/>
  <c r="J49" i="19"/>
  <c r="M49" i="19" s="1"/>
  <c r="O49" i="19" s="1"/>
  <c r="I49" i="19"/>
  <c r="J47" i="19"/>
  <c r="M47" i="19" s="1"/>
  <c r="O47" i="19" s="1"/>
  <c r="I47" i="19"/>
  <c r="H45" i="19"/>
  <c r="F45" i="19"/>
  <c r="J44" i="19"/>
  <c r="M44" i="19" s="1"/>
  <c r="O44" i="19" s="1"/>
  <c r="I44" i="19"/>
  <c r="G43" i="19"/>
  <c r="J43" i="19" s="1"/>
  <c r="M43" i="19" s="1"/>
  <c r="O43" i="19" s="1"/>
  <c r="J42" i="19"/>
  <c r="M42" i="19" s="1"/>
  <c r="O42" i="19" s="1"/>
  <c r="I42" i="19"/>
  <c r="J41" i="19"/>
  <c r="M41" i="19" s="1"/>
  <c r="O41" i="19" s="1"/>
  <c r="I41" i="19"/>
  <c r="J40" i="19"/>
  <c r="M40" i="19" s="1"/>
  <c r="O40" i="19" s="1"/>
  <c r="I40" i="19"/>
  <c r="J39" i="19"/>
  <c r="M39" i="19" s="1"/>
  <c r="O39" i="19" s="1"/>
  <c r="I39" i="19"/>
  <c r="J38" i="19"/>
  <c r="M38" i="19" s="1"/>
  <c r="O38" i="19" s="1"/>
  <c r="I38" i="19"/>
  <c r="J37" i="19"/>
  <c r="M37" i="19" s="1"/>
  <c r="O37" i="19" s="1"/>
  <c r="I37" i="19"/>
  <c r="G36" i="19"/>
  <c r="I36" i="19" s="1"/>
  <c r="J35" i="19"/>
  <c r="M35" i="19" s="1"/>
  <c r="O35" i="19" s="1"/>
  <c r="I35" i="19"/>
  <c r="J34" i="19"/>
  <c r="M34" i="19" s="1"/>
  <c r="O34" i="19" s="1"/>
  <c r="I34" i="19"/>
  <c r="J33" i="19"/>
  <c r="M33" i="19" s="1"/>
  <c r="O33" i="19" s="1"/>
  <c r="I33" i="19"/>
  <c r="J32" i="19"/>
  <c r="M32" i="19" s="1"/>
  <c r="O32" i="19" s="1"/>
  <c r="J31" i="19"/>
  <c r="M31" i="19" s="1"/>
  <c r="O31" i="19" s="1"/>
  <c r="I31" i="19"/>
  <c r="H30" i="19"/>
  <c r="F30" i="19"/>
  <c r="J29" i="19"/>
  <c r="M29" i="19" s="1"/>
  <c r="O29" i="19" s="1"/>
  <c r="I29" i="19"/>
  <c r="J27" i="19"/>
  <c r="M27" i="19" s="1"/>
  <c r="O27" i="19" s="1"/>
  <c r="I27" i="19"/>
  <c r="J26" i="19"/>
  <c r="M26" i="19" s="1"/>
  <c r="O26" i="19" s="1"/>
  <c r="I26" i="19"/>
  <c r="J25" i="19"/>
  <c r="M25" i="19" s="1"/>
  <c r="O25" i="19" s="1"/>
  <c r="I25" i="19"/>
  <c r="R24" i="19"/>
  <c r="Q24" i="19"/>
  <c r="G24" i="19"/>
  <c r="J24" i="19" s="1"/>
  <c r="M24" i="19" s="1"/>
  <c r="O24" i="19" s="1"/>
  <c r="J23" i="19"/>
  <c r="M23" i="19" s="1"/>
  <c r="O23" i="19" s="1"/>
  <c r="I23" i="19"/>
  <c r="G22" i="19"/>
  <c r="I22" i="19" s="1"/>
  <c r="G21" i="19"/>
  <c r="I21" i="19" s="1"/>
  <c r="J19" i="19"/>
  <c r="M19" i="19" s="1"/>
  <c r="O19" i="19" s="1"/>
  <c r="I19" i="19"/>
  <c r="J18" i="19"/>
  <c r="M18" i="19" s="1"/>
  <c r="O18" i="19" s="1"/>
  <c r="I18" i="19"/>
  <c r="U17" i="19"/>
  <c r="H17" i="19"/>
  <c r="G17" i="19"/>
  <c r="G16" i="19"/>
  <c r="I16" i="19" s="1"/>
  <c r="J15" i="19"/>
  <c r="M15" i="19" s="1"/>
  <c r="O15" i="19" s="1"/>
  <c r="J14" i="19"/>
  <c r="M14" i="19" s="1"/>
  <c r="O14" i="19" s="1"/>
  <c r="I14" i="19"/>
  <c r="J13" i="19"/>
  <c r="M13" i="19" s="1"/>
  <c r="O13" i="19" s="1"/>
  <c r="H12" i="19"/>
  <c r="G11" i="19"/>
  <c r="I11" i="19" s="1"/>
  <c r="F9" i="19"/>
  <c r="J8" i="19"/>
  <c r="M8" i="19" s="1"/>
  <c r="O8" i="19" s="1"/>
  <c r="I8" i="19"/>
  <c r="J7" i="19"/>
  <c r="M7" i="19" s="1"/>
  <c r="O7" i="19" s="1"/>
  <c r="I7" i="19"/>
  <c r="J6" i="19"/>
  <c r="M6" i="19" s="1"/>
  <c r="O6" i="19" s="1"/>
  <c r="I6" i="19"/>
  <c r="J5" i="19"/>
  <c r="M5" i="19" s="1"/>
  <c r="O5" i="19" s="1"/>
  <c r="I5" i="19"/>
  <c r="H4" i="19"/>
  <c r="H3" i="19" s="1"/>
  <c r="G4" i="19"/>
  <c r="G3" i="19" s="1"/>
  <c r="F3" i="19"/>
  <c r="M56" i="19" l="1"/>
  <c r="M59" i="19"/>
  <c r="L2" i="19"/>
  <c r="L61" i="19" s="1"/>
  <c r="K2" i="19"/>
  <c r="K61" i="19" s="1"/>
  <c r="I17" i="19"/>
  <c r="J11" i="19"/>
  <c r="M11" i="19" s="1"/>
  <c r="O11" i="19" s="1"/>
  <c r="J22" i="19"/>
  <c r="M22" i="19" s="1"/>
  <c r="O22" i="19" s="1"/>
  <c r="I24" i="19"/>
  <c r="G9" i="19"/>
  <c r="J54" i="19"/>
  <c r="M54" i="19" s="1"/>
  <c r="O54" i="19" s="1"/>
  <c r="F2" i="19"/>
  <c r="F61" i="19" s="1"/>
  <c r="J16" i="19"/>
  <c r="M16" i="19" s="1"/>
  <c r="O16" i="19" s="1"/>
  <c r="J17" i="19"/>
  <c r="M17" i="19" s="1"/>
  <c r="O17" i="19" s="1"/>
  <c r="J21" i="19"/>
  <c r="M21" i="19" s="1"/>
  <c r="O21" i="19" s="1"/>
  <c r="G45" i="19"/>
  <c r="J50" i="19"/>
  <c r="M50" i="19" s="1"/>
  <c r="H9" i="19"/>
  <c r="H2" i="19" s="1"/>
  <c r="H61" i="19" s="1"/>
  <c r="J4" i="19"/>
  <c r="G30" i="19"/>
  <c r="J36" i="19"/>
  <c r="I45" i="19"/>
  <c r="I4" i="19"/>
  <c r="I3" i="19" s="1"/>
  <c r="J12" i="19"/>
  <c r="M12" i="19" s="1"/>
  <c r="O12" i="19" s="1"/>
  <c r="I43" i="19"/>
  <c r="I30" i="19" s="1"/>
  <c r="M55" i="19" l="1"/>
  <c r="O55" i="19" s="1"/>
  <c r="O56" i="19"/>
  <c r="M45" i="19"/>
  <c r="O45" i="19" s="1"/>
  <c r="O50" i="19"/>
  <c r="M58" i="19"/>
  <c r="O59" i="19"/>
  <c r="M9" i="19"/>
  <c r="O9" i="19" s="1"/>
  <c r="J30" i="19"/>
  <c r="M36" i="19"/>
  <c r="J3" i="19"/>
  <c r="M4" i="19"/>
  <c r="J45" i="19"/>
  <c r="I9" i="19"/>
  <c r="I2" i="19" s="1"/>
  <c r="I61" i="19" s="1"/>
  <c r="J9" i="19"/>
  <c r="G2" i="19"/>
  <c r="G61" i="19" s="1"/>
  <c r="G67" i="19" s="1"/>
  <c r="G71" i="19" s="1"/>
  <c r="U6" i="19"/>
  <c r="J2" i="19" l="1"/>
  <c r="J61" i="19" s="1"/>
  <c r="J67" i="19" s="1"/>
  <c r="J71" i="19" s="1"/>
  <c r="M3" i="19"/>
  <c r="O3" i="19" s="1"/>
  <c r="O4" i="19"/>
  <c r="M30" i="19"/>
  <c r="O30" i="19" s="1"/>
  <c r="O36" i="19"/>
  <c r="M57" i="19"/>
  <c r="O57" i="19" s="1"/>
  <c r="O58" i="19"/>
  <c r="F3" i="13"/>
  <c r="L9" i="13"/>
  <c r="M48" i="13"/>
  <c r="M20" i="13"/>
  <c r="M28" i="13"/>
  <c r="L45" i="13"/>
  <c r="L30" i="13"/>
  <c r="G51" i="13"/>
  <c r="G57" i="13"/>
  <c r="G56" i="13" s="1"/>
  <c r="G54" i="13"/>
  <c r="G3" i="13"/>
  <c r="G30" i="13"/>
  <c r="G45" i="13"/>
  <c r="G28" i="13"/>
  <c r="G11" i="13"/>
  <c r="L56" i="13"/>
  <c r="M56" i="13"/>
  <c r="L54" i="13"/>
  <c r="L3" i="13"/>
  <c r="H549" i="10"/>
  <c r="I553" i="10"/>
  <c r="K553" i="10" s="1"/>
  <c r="H552" i="10"/>
  <c r="H551" i="10" s="1"/>
  <c r="I551" i="10" s="1"/>
  <c r="K551" i="10" s="1"/>
  <c r="H68" i="11"/>
  <c r="G310" i="7"/>
  <c r="H87" i="11"/>
  <c r="I261" i="7"/>
  <c r="I260" i="7"/>
  <c r="H447" i="10"/>
  <c r="I451" i="10"/>
  <c r="K451" i="10" s="1"/>
  <c r="K450" i="10" s="1"/>
  <c r="K449" i="10" s="1"/>
  <c r="K448" i="10" s="1"/>
  <c r="H450" i="10"/>
  <c r="H449" i="10" s="1"/>
  <c r="M2" i="19" l="1"/>
  <c r="G9" i="13"/>
  <c r="I310" i="7"/>
  <c r="G307" i="7"/>
  <c r="L2" i="13"/>
  <c r="L60" i="13" s="1"/>
  <c r="G2" i="13"/>
  <c r="G60" i="13" s="1"/>
  <c r="I552" i="10"/>
  <c r="K552" i="10" s="1"/>
  <c r="I449" i="10"/>
  <c r="H448" i="10"/>
  <c r="I448" i="10" s="1"/>
  <c r="I450" i="10"/>
  <c r="H65" i="11"/>
  <c r="H53" i="11"/>
  <c r="H57" i="11"/>
  <c r="H62" i="11"/>
  <c r="H72" i="11"/>
  <c r="H75" i="11"/>
  <c r="H85" i="11"/>
  <c r="H80" i="11"/>
  <c r="F78" i="11"/>
  <c r="D30" i="5"/>
  <c r="D28" i="5"/>
  <c r="C28" i="5"/>
  <c r="D14" i="5"/>
  <c r="D12" i="5"/>
  <c r="M61" i="19" l="1"/>
  <c r="O61" i="19" s="1"/>
  <c r="O2" i="19"/>
  <c r="H52" i="11"/>
  <c r="H78" i="11"/>
  <c r="H51" i="11" l="1"/>
  <c r="T66" i="19"/>
  <c r="O67" i="19"/>
  <c r="D40" i="5"/>
  <c r="D35" i="5"/>
  <c r="D20" i="5"/>
  <c r="D16" i="5"/>
  <c r="E29" i="5"/>
  <c r="E28" i="5" s="1"/>
  <c r="E34" i="5"/>
  <c r="E36" i="5"/>
  <c r="E38" i="5"/>
  <c r="E39" i="5"/>
  <c r="E44" i="5"/>
  <c r="G405" i="7"/>
  <c r="I405" i="7" s="1"/>
  <c r="I404" i="7" s="1"/>
  <c r="I403" i="7" s="1"/>
  <c r="I401" i="7" s="1"/>
  <c r="I400" i="7" s="1"/>
  <c r="I399" i="7" s="1"/>
  <c r="I397" i="7"/>
  <c r="G391" i="7"/>
  <c r="I391" i="7" s="1"/>
  <c r="G385" i="7"/>
  <c r="I385" i="7" s="1"/>
  <c r="G384" i="7"/>
  <c r="I384" i="7" s="1"/>
  <c r="G379" i="7"/>
  <c r="I379" i="7" s="1"/>
  <c r="G374" i="7"/>
  <c r="I374" i="7" s="1"/>
  <c r="I373" i="7"/>
  <c r="G366" i="7"/>
  <c r="I366" i="7" s="1"/>
  <c r="G360" i="7"/>
  <c r="I360" i="7" s="1"/>
  <c r="G354" i="7"/>
  <c r="I354" i="7" s="1"/>
  <c r="G346" i="7"/>
  <c r="I346" i="7" s="1"/>
  <c r="G337" i="7"/>
  <c r="I337" i="7" s="1"/>
  <c r="G340" i="7"/>
  <c r="I340" i="7" s="1"/>
  <c r="G339" i="7"/>
  <c r="G330" i="7"/>
  <c r="I330" i="7" s="1"/>
  <c r="G324" i="7"/>
  <c r="I324" i="7" s="1"/>
  <c r="G317" i="7"/>
  <c r="I317" i="7" s="1"/>
  <c r="G305" i="7"/>
  <c r="I305" i="7" s="1"/>
  <c r="G298" i="7"/>
  <c r="I298" i="7" s="1"/>
  <c r="G295" i="7"/>
  <c r="I295" i="7" s="1"/>
  <c r="G296" i="7"/>
  <c r="I296" i="7" s="1"/>
  <c r="G294" i="7"/>
  <c r="I294" i="7" s="1"/>
  <c r="G280" i="7"/>
  <c r="I280" i="7" s="1"/>
  <c r="G285" i="7"/>
  <c r="I285" i="7" s="1"/>
  <c r="G284" i="7"/>
  <c r="I284" i="7" s="1"/>
  <c r="G282" i="7"/>
  <c r="I282" i="7" s="1"/>
  <c r="G271" i="7"/>
  <c r="I275" i="7"/>
  <c r="G196" i="7"/>
  <c r="I196" i="7" s="1"/>
  <c r="G264" i="7"/>
  <c r="I264" i="7" s="1"/>
  <c r="G268" i="7"/>
  <c r="I268" i="7" s="1"/>
  <c r="G259" i="7"/>
  <c r="I259" i="7" s="1"/>
  <c r="G252" i="7"/>
  <c r="I252" i="7" s="1"/>
  <c r="I250" i="7"/>
  <c r="G242" i="7"/>
  <c r="G236" i="7"/>
  <c r="I236" i="7" s="1"/>
  <c r="G235" i="7"/>
  <c r="I235" i="7" s="1"/>
  <c r="G224" i="7"/>
  <c r="I224" i="7" s="1"/>
  <c r="G226" i="7"/>
  <c r="I226" i="7" s="1"/>
  <c r="G228" i="7"/>
  <c r="I228" i="7" s="1"/>
  <c r="G220" i="7"/>
  <c r="I220" i="7" s="1"/>
  <c r="G215" i="7"/>
  <c r="I215" i="7" s="1"/>
  <c r="I214" i="7"/>
  <c r="G208" i="7"/>
  <c r="I208" i="7" s="1"/>
  <c r="I199" i="7"/>
  <c r="G187" i="7"/>
  <c r="I187" i="7" s="1"/>
  <c r="G191" i="7"/>
  <c r="I191" i="7" s="1"/>
  <c r="I172" i="7"/>
  <c r="I176" i="7"/>
  <c r="I165" i="7"/>
  <c r="I168" i="7"/>
  <c r="G160" i="7"/>
  <c r="I160" i="7" s="1"/>
  <c r="G162" i="7"/>
  <c r="I162" i="7" s="1"/>
  <c r="G154" i="7"/>
  <c r="I154" i="7" s="1"/>
  <c r="G145" i="7"/>
  <c r="I145" i="7" s="1"/>
  <c r="G146" i="7"/>
  <c r="I146" i="7" s="1"/>
  <c r="I148" i="7"/>
  <c r="G138" i="7"/>
  <c r="I138" i="7" s="1"/>
  <c r="G141" i="7"/>
  <c r="I141" i="7" s="1"/>
  <c r="G133" i="7"/>
  <c r="I133" i="7" s="1"/>
  <c r="I132" i="7"/>
  <c r="I135" i="7"/>
  <c r="G129" i="7"/>
  <c r="I129" i="7" s="1"/>
  <c r="I124" i="7"/>
  <c r="G119" i="7"/>
  <c r="I119" i="7" s="1"/>
  <c r="G109" i="7"/>
  <c r="I109" i="7" s="1"/>
  <c r="G110" i="7"/>
  <c r="I110" i="7" s="1"/>
  <c r="I114" i="7"/>
  <c r="G99" i="7"/>
  <c r="I99" i="7" s="1"/>
  <c r="G93" i="7"/>
  <c r="I93" i="7" s="1"/>
  <c r="G92" i="7"/>
  <c r="I92" i="7" s="1"/>
  <c r="G84" i="7"/>
  <c r="I84" i="7" s="1"/>
  <c r="G83" i="7"/>
  <c r="I83" i="7" s="1"/>
  <c r="G77" i="7"/>
  <c r="I71" i="7"/>
  <c r="G66" i="7"/>
  <c r="I61" i="7"/>
  <c r="G49" i="7"/>
  <c r="I49" i="7" s="1"/>
  <c r="E46" i="7"/>
  <c r="G48" i="7"/>
  <c r="I48" i="7" s="1"/>
  <c r="G47" i="7"/>
  <c r="I47" i="7" s="1"/>
  <c r="G38" i="7"/>
  <c r="I38" i="7" s="1"/>
  <c r="G39" i="7"/>
  <c r="I39" i="7" s="1"/>
  <c r="I42" i="7"/>
  <c r="I41" i="7"/>
  <c r="I31" i="7"/>
  <c r="G26" i="7"/>
  <c r="I26" i="7" s="1"/>
  <c r="G25" i="7"/>
  <c r="I19" i="7"/>
  <c r="G20" i="7"/>
  <c r="I20" i="7" s="1"/>
  <c r="I18" i="7"/>
  <c r="H13" i="11"/>
  <c r="H14" i="11" s="1"/>
  <c r="H16" i="11"/>
  <c r="H20" i="11"/>
  <c r="H24" i="11"/>
  <c r="H29" i="11"/>
  <c r="G20" i="3"/>
  <c r="G22" i="3"/>
  <c r="G24" i="3"/>
  <c r="G26" i="3"/>
  <c r="G29" i="3"/>
  <c r="G18" i="3"/>
  <c r="I4" i="13"/>
  <c r="H91" i="10"/>
  <c r="K91" i="10" s="1"/>
  <c r="H645" i="10"/>
  <c r="H644" i="10"/>
  <c r="H357" i="10"/>
  <c r="H695" i="10"/>
  <c r="H631" i="10"/>
  <c r="H316" i="10"/>
  <c r="H224" i="10"/>
  <c r="I25" i="7" l="1"/>
  <c r="I77" i="7"/>
  <c r="I339" i="7"/>
  <c r="G65" i="7"/>
  <c r="I65" i="7" s="1"/>
  <c r="I66" i="7"/>
  <c r="D9" i="5"/>
  <c r="D23" i="5"/>
  <c r="G46" i="7"/>
  <c r="I46" i="7" s="1"/>
  <c r="I43" i="7" s="1"/>
  <c r="G293" i="7"/>
  <c r="G17" i="7"/>
  <c r="I17" i="7" s="1"/>
  <c r="I14" i="7" s="1"/>
  <c r="I3" i="13"/>
  <c r="I23" i="1"/>
  <c r="I22" i="1"/>
  <c r="I20" i="1"/>
  <c r="I19" i="1"/>
  <c r="G640" i="10"/>
  <c r="I12" i="13"/>
  <c r="K12" i="13" s="1"/>
  <c r="M12" i="13" s="1"/>
  <c r="K55" i="13"/>
  <c r="J54" i="13"/>
  <c r="H54" i="13"/>
  <c r="I54" i="13"/>
  <c r="K54" i="13" l="1"/>
  <c r="M55" i="13"/>
  <c r="M54" i="13" s="1"/>
  <c r="I293" i="7"/>
  <c r="D7" i="5"/>
  <c r="I312" i="7"/>
  <c r="I311" i="7"/>
  <c r="K15" i="13"/>
  <c r="M15" i="13" s="1"/>
  <c r="H554" i="10"/>
  <c r="I554" i="10" s="1"/>
  <c r="I45" i="13"/>
  <c r="F45" i="13"/>
  <c r="H673" i="10"/>
  <c r="I675" i="10"/>
  <c r="K675" i="10" s="1"/>
  <c r="I243" i="10"/>
  <c r="K243" i="10" s="1"/>
  <c r="I242" i="10"/>
  <c r="K242" i="10" s="1"/>
  <c r="I128" i="10"/>
  <c r="K128" i="10" s="1"/>
  <c r="H127" i="10"/>
  <c r="H126" i="10" s="1"/>
  <c r="I126" i="10" s="1"/>
  <c r="K126" i="10" s="1"/>
  <c r="F9" i="13"/>
  <c r="F248" i="10"/>
  <c r="F245" i="10" s="1"/>
  <c r="F243" i="10"/>
  <c r="F239" i="10" s="1"/>
  <c r="H239" i="10"/>
  <c r="G239" i="10"/>
  <c r="F266" i="10"/>
  <c r="F265" i="10" s="1"/>
  <c r="F667" i="10"/>
  <c r="F666" i="10" s="1"/>
  <c r="F498" i="10"/>
  <c r="F497" i="10" s="1"/>
  <c r="G430" i="10"/>
  <c r="H430" i="10"/>
  <c r="I430" i="10"/>
  <c r="K430" i="10" s="1"/>
  <c r="F430" i="10"/>
  <c r="F409" i="10"/>
  <c r="F406" i="10"/>
  <c r="F184" i="10"/>
  <c r="F183" i="10" s="1"/>
  <c r="F163" i="10"/>
  <c r="F162" i="10" s="1"/>
  <c r="I124" i="10"/>
  <c r="K124" i="10" s="1"/>
  <c r="H122" i="10"/>
  <c r="G122" i="10"/>
  <c r="F123" i="10"/>
  <c r="F122" i="10" s="1"/>
  <c r="F121" i="10" s="1"/>
  <c r="F107" i="10"/>
  <c r="F106" i="10" s="1"/>
  <c r="F74" i="10"/>
  <c r="F69" i="10" s="1"/>
  <c r="F445" i="10"/>
  <c r="F444" i="10" s="1"/>
  <c r="F59" i="10"/>
  <c r="F58" i="10" s="1"/>
  <c r="F447" i="10"/>
  <c r="F39" i="10"/>
  <c r="F37" i="10" s="1"/>
  <c r="F36" i="10" s="1"/>
  <c r="F13" i="10"/>
  <c r="F12" i="10" s="1"/>
  <c r="I30" i="13"/>
  <c r="F30" i="13"/>
  <c r="K32" i="13"/>
  <c r="M32" i="13" s="1"/>
  <c r="F54" i="13"/>
  <c r="F704" i="10"/>
  <c r="F703" i="10" s="1"/>
  <c r="F702" i="10" s="1"/>
  <c r="F700" i="10" s="1"/>
  <c r="F698" i="10" s="1"/>
  <c r="F697" i="10" s="1"/>
  <c r="F693" i="10"/>
  <c r="F692" i="10" s="1"/>
  <c r="F691" i="10" s="1"/>
  <c r="F689" i="10" s="1"/>
  <c r="F687" i="10" s="1"/>
  <c r="F683" i="10"/>
  <c r="F682" i="10" s="1"/>
  <c r="F681" i="10" s="1"/>
  <c r="F679" i="10" s="1"/>
  <c r="F677" i="10" s="1"/>
  <c r="F673" i="10"/>
  <c r="F672" i="10" s="1"/>
  <c r="F670" i="10"/>
  <c r="F668" i="10"/>
  <c r="F658" i="10"/>
  <c r="F657" i="10" s="1"/>
  <c r="F656" i="10" s="1"/>
  <c r="F654" i="10" s="1"/>
  <c r="F650" i="10"/>
  <c r="F649" i="10" s="1"/>
  <c r="F640" i="10"/>
  <c r="F639" i="10" s="1"/>
  <c r="F630" i="10"/>
  <c r="F629" i="10" s="1"/>
  <c r="F628" i="10" s="1"/>
  <c r="F626" i="10" s="1"/>
  <c r="F624" i="10" s="1"/>
  <c r="F621" i="10"/>
  <c r="F620" i="10" s="1"/>
  <c r="F619" i="10" s="1"/>
  <c r="F617" i="10" s="1"/>
  <c r="F615" i="10" s="1"/>
  <c r="F612" i="10"/>
  <c r="F611" i="10" s="1"/>
  <c r="F610" i="10" s="1"/>
  <c r="F608" i="10" s="1"/>
  <c r="F606" i="10" s="1"/>
  <c r="F601" i="10"/>
  <c r="F600" i="10" s="1"/>
  <c r="F599" i="10" s="1"/>
  <c r="F597" i="10" s="1"/>
  <c r="F595" i="10" s="1"/>
  <c r="F592" i="10"/>
  <c r="F590" i="10"/>
  <c r="F589" i="10" s="1"/>
  <c r="F580" i="10"/>
  <c r="F579" i="10" s="1"/>
  <c r="F578" i="10" s="1"/>
  <c r="F576" i="10" s="1"/>
  <c r="F574" i="10" s="1"/>
  <c r="F571" i="10"/>
  <c r="F570" i="10" s="1"/>
  <c r="F569" i="10" s="1"/>
  <c r="F567" i="10" s="1"/>
  <c r="F562" i="10"/>
  <c r="F561" i="10" s="1"/>
  <c r="F560" i="10" s="1"/>
  <c r="F558" i="10" s="1"/>
  <c r="F548" i="10"/>
  <c r="F547" i="10" s="1"/>
  <c r="F544" i="10" s="1"/>
  <c r="F542" i="10" s="1"/>
  <c r="F537" i="10"/>
  <c r="F536" i="10" s="1"/>
  <c r="F535" i="10" s="1"/>
  <c r="F531" i="10"/>
  <c r="F530" i="10" s="1"/>
  <c r="F524" i="10"/>
  <c r="F516" i="10"/>
  <c r="F509" i="10"/>
  <c r="F504" i="10"/>
  <c r="F501" i="10"/>
  <c r="F499" i="10"/>
  <c r="F486" i="10"/>
  <c r="F485" i="10" s="1"/>
  <c r="F483" i="10"/>
  <c r="F481" i="10"/>
  <c r="F477" i="10"/>
  <c r="F476" i="10" s="1"/>
  <c r="F475" i="10" s="1"/>
  <c r="F468" i="10"/>
  <c r="F467" i="10" s="1"/>
  <c r="F462" i="10" s="1"/>
  <c r="F459" i="10"/>
  <c r="F458" i="10" s="1"/>
  <c r="F453" i="10" s="1"/>
  <c r="F446" i="10"/>
  <c r="F436" i="10"/>
  <c r="F435" i="10" s="1"/>
  <c r="F434" i="10" s="1"/>
  <c r="F432" i="10"/>
  <c r="F421" i="10"/>
  <c r="F420" i="10" s="1"/>
  <c r="F419" i="10" s="1"/>
  <c r="F417" i="10" s="1"/>
  <c r="F412" i="10"/>
  <c r="F411" i="10" s="1"/>
  <c r="F395" i="10"/>
  <c r="F394" i="10" s="1"/>
  <c r="F393" i="10" s="1"/>
  <c r="F391" i="10"/>
  <c r="F390" i="10" s="1"/>
  <c r="F389" i="10" s="1"/>
  <c r="F382" i="10"/>
  <c r="F380" i="10"/>
  <c r="F371" i="10"/>
  <c r="F370" i="10" s="1"/>
  <c r="F368" i="10"/>
  <c r="F365" i="10"/>
  <c r="F356" i="10"/>
  <c r="F355" i="10" s="1"/>
  <c r="F354" i="10" s="1"/>
  <c r="F351" i="10" s="1"/>
  <c r="F348" i="10" s="1"/>
  <c r="F339" i="10"/>
  <c r="F338" i="10" s="1"/>
  <c r="F337" i="10" s="1"/>
  <c r="F335" i="10" s="1"/>
  <c r="F331" i="10"/>
  <c r="F330" i="10" s="1"/>
  <c r="F329" i="10" s="1"/>
  <c r="F327" i="10" s="1"/>
  <c r="F323" i="10"/>
  <c r="F322" i="10" s="1"/>
  <c r="F321" i="10" s="1"/>
  <c r="F319" i="10" s="1"/>
  <c r="F315" i="10"/>
  <c r="F314" i="10" s="1"/>
  <c r="F313" i="10" s="1"/>
  <c r="F311" i="10" s="1"/>
  <c r="F307" i="10"/>
  <c r="F306" i="10" s="1"/>
  <c r="F305" i="10" s="1"/>
  <c r="F302" i="10" s="1"/>
  <c r="F298" i="10"/>
  <c r="F297" i="10" s="1"/>
  <c r="F296" i="10" s="1"/>
  <c r="F294" i="10" s="1"/>
  <c r="F288" i="10"/>
  <c r="F286" i="10"/>
  <c r="F278" i="10"/>
  <c r="F276" i="10"/>
  <c r="F267" i="10"/>
  <c r="F257" i="10"/>
  <c r="F255" i="10"/>
  <c r="F231" i="10"/>
  <c r="F230" i="10" s="1"/>
  <c r="F229" i="10" s="1"/>
  <c r="F227" i="10" s="1"/>
  <c r="F223" i="10"/>
  <c r="F222" i="10" s="1"/>
  <c r="F221" i="10" s="1"/>
  <c r="F218" i="10" s="1"/>
  <c r="F211" i="10"/>
  <c r="F210" i="10" s="1"/>
  <c r="F209" i="10" s="1"/>
  <c r="F207" i="10" s="1"/>
  <c r="F205" i="10" s="1"/>
  <c r="F202" i="10"/>
  <c r="F201" i="10" s="1"/>
  <c r="F199" i="10"/>
  <c r="F198" i="10" s="1"/>
  <c r="F188" i="10"/>
  <c r="F187" i="10" s="1"/>
  <c r="F185" i="10"/>
  <c r="F174" i="10"/>
  <c r="F173" i="10" s="1"/>
  <c r="F172" i="10" s="1"/>
  <c r="F170" i="10" s="1"/>
  <c r="F168" i="10" s="1"/>
  <c r="F165" i="10"/>
  <c r="F154" i="10"/>
  <c r="F153" i="10" s="1"/>
  <c r="F152" i="10" s="1"/>
  <c r="F150" i="10" s="1"/>
  <c r="F146" i="10"/>
  <c r="F145" i="10" s="1"/>
  <c r="F144" i="10" s="1"/>
  <c r="F142" i="10" s="1"/>
  <c r="F119" i="10"/>
  <c r="F118" i="10" s="1"/>
  <c r="F80" i="10"/>
  <c r="F65" i="10"/>
  <c r="F62" i="10"/>
  <c r="F60" i="10"/>
  <c r="F46" i="10"/>
  <c r="F45" i="10" s="1"/>
  <c r="F44" i="10" s="1"/>
  <c r="F42" i="10" s="1"/>
  <c r="F33" i="10"/>
  <c r="F32" i="10" s="1"/>
  <c r="F25" i="10"/>
  <c r="F24" i="10" s="1"/>
  <c r="F19" i="10"/>
  <c r="F17" i="10"/>
  <c r="F14" i="10"/>
  <c r="F57" i="13"/>
  <c r="F56" i="13" s="1"/>
  <c r="F16" i="3"/>
  <c r="G16" i="3"/>
  <c r="I309" i="7" l="1"/>
  <c r="I307" i="7" s="1"/>
  <c r="I302" i="7" s="1"/>
  <c r="I239" i="10"/>
  <c r="K239" i="10" s="1"/>
  <c r="I127" i="10"/>
  <c r="K127" i="10" s="1"/>
  <c r="F429" i="10"/>
  <c r="F428" i="10" s="1"/>
  <c r="F425" i="10" s="1"/>
  <c r="I122" i="10"/>
  <c r="K122" i="10" s="1"/>
  <c r="F480" i="10"/>
  <c r="F264" i="10"/>
  <c r="F263" i="10" s="1"/>
  <c r="F261" i="10" s="1"/>
  <c r="F238" i="10"/>
  <c r="F237" i="10" s="1"/>
  <c r="F235" i="10" s="1"/>
  <c r="F405" i="10"/>
  <c r="F404" i="10" s="1"/>
  <c r="F403" i="10" s="1"/>
  <c r="F401" i="10" s="1"/>
  <c r="F399" i="10" s="1"/>
  <c r="F387" i="10"/>
  <c r="F443" i="10"/>
  <c r="F442" i="10" s="1"/>
  <c r="F440" i="10" s="1"/>
  <c r="F182" i="10"/>
  <c r="F181" i="10" s="1"/>
  <c r="F179" i="10" s="1"/>
  <c r="F177" i="10" s="1"/>
  <c r="F2" i="13"/>
  <c r="F60" i="13" s="1"/>
  <c r="F57" i="10"/>
  <c r="F117" i="10"/>
  <c r="F115" i="10" s="1"/>
  <c r="F161" i="10"/>
  <c r="F160" i="10" s="1"/>
  <c r="F158" i="10" s="1"/>
  <c r="F197" i="10"/>
  <c r="F194" i="10" s="1"/>
  <c r="F192" i="10" s="1"/>
  <c r="F191" i="10" s="1"/>
  <c r="F275" i="10"/>
  <c r="F274" i="10" s="1"/>
  <c r="F272" i="10" s="1"/>
  <c r="F285" i="10"/>
  <c r="F284" i="10" s="1"/>
  <c r="F282" i="10" s="1"/>
  <c r="F496" i="10"/>
  <c r="F503" i="10"/>
  <c r="F588" i="10"/>
  <c r="F586" i="10" s="1"/>
  <c r="F584" i="10" s="1"/>
  <c r="F583" i="10" s="1"/>
  <c r="F605" i="10"/>
  <c r="F665" i="10"/>
  <c r="F664" i="10" s="1"/>
  <c r="F662" i="10" s="1"/>
  <c r="F31" i="10"/>
  <c r="F29" i="10" s="1"/>
  <c r="F16" i="10"/>
  <c r="F11" i="10"/>
  <c r="F64" i="10"/>
  <c r="F364" i="10"/>
  <c r="F363" i="10" s="1"/>
  <c r="F361" i="10" s="1"/>
  <c r="F479" i="10"/>
  <c r="F540" i="10"/>
  <c r="F291" i="10"/>
  <c r="F8" i="10"/>
  <c r="F254" i="10"/>
  <c r="F253" i="10" s="1"/>
  <c r="F251" i="10" s="1"/>
  <c r="F379" i="10"/>
  <c r="F378" i="10" s="1"/>
  <c r="F375" i="10" s="1"/>
  <c r="F473" i="10"/>
  <c r="F471" i="10" s="1"/>
  <c r="F638" i="10"/>
  <c r="F636" i="10" s="1"/>
  <c r="I37" i="1"/>
  <c r="H97" i="10"/>
  <c r="H12" i="10"/>
  <c r="H14" i="10"/>
  <c r="H17" i="10"/>
  <c r="H19" i="10"/>
  <c r="H25" i="10"/>
  <c r="H24" i="10" s="1"/>
  <c r="H33" i="10"/>
  <c r="H32" i="10" s="1"/>
  <c r="H37" i="10"/>
  <c r="H36" i="10" s="1"/>
  <c r="H46" i="10"/>
  <c r="H45" i="10" s="1"/>
  <c r="H44" i="10" s="1"/>
  <c r="H42" i="10" s="1"/>
  <c r="H58" i="10"/>
  <c r="H60" i="10"/>
  <c r="H62" i="10"/>
  <c r="H65" i="10"/>
  <c r="H69" i="10"/>
  <c r="H106" i="10"/>
  <c r="H119" i="10"/>
  <c r="H118" i="10" s="1"/>
  <c r="H121" i="10"/>
  <c r="H146" i="10"/>
  <c r="H145" i="10" s="1"/>
  <c r="H144" i="10" s="1"/>
  <c r="H142" i="10" s="1"/>
  <c r="H154" i="10"/>
  <c r="H153" i="10" s="1"/>
  <c r="H152" i="10" s="1"/>
  <c r="H150" i="10" s="1"/>
  <c r="H162" i="10"/>
  <c r="H165" i="10"/>
  <c r="H174" i="10"/>
  <c r="H173" i="10" s="1"/>
  <c r="H172" i="10" s="1"/>
  <c r="H170" i="10" s="1"/>
  <c r="H168" i="10" s="1"/>
  <c r="H183" i="10"/>
  <c r="H185" i="10"/>
  <c r="H188" i="10"/>
  <c r="H187" i="10" s="1"/>
  <c r="H199" i="10"/>
  <c r="H198" i="10" s="1"/>
  <c r="H202" i="10"/>
  <c r="H201" i="10" s="1"/>
  <c r="H211" i="10"/>
  <c r="H210" i="10" s="1"/>
  <c r="H209" i="10" s="1"/>
  <c r="H207" i="10" s="1"/>
  <c r="H205" i="10" s="1"/>
  <c r="H223" i="10"/>
  <c r="H222" i="10" s="1"/>
  <c r="H221" i="10" s="1"/>
  <c r="H218" i="10" s="1"/>
  <c r="H231" i="10"/>
  <c r="H230" i="10" s="1"/>
  <c r="H229" i="10" s="1"/>
  <c r="H227" i="10" s="1"/>
  <c r="H245" i="10"/>
  <c r="H255" i="10"/>
  <c r="H257" i="10"/>
  <c r="H265" i="10"/>
  <c r="H267" i="10"/>
  <c r="H276" i="10"/>
  <c r="H278" i="10"/>
  <c r="H286" i="10"/>
  <c r="H288" i="10"/>
  <c r="H298" i="10"/>
  <c r="H297" i="10" s="1"/>
  <c r="H296" i="10" s="1"/>
  <c r="H294" i="10" s="1"/>
  <c r="H307" i="10"/>
  <c r="H306" i="10" s="1"/>
  <c r="H305" i="10" s="1"/>
  <c r="H302" i="10" s="1"/>
  <c r="H315" i="10"/>
  <c r="H314" i="10" s="1"/>
  <c r="H313" i="10" s="1"/>
  <c r="H311" i="10" s="1"/>
  <c r="H323" i="10"/>
  <c r="H322" i="10" s="1"/>
  <c r="H321" i="10" s="1"/>
  <c r="H319" i="10" s="1"/>
  <c r="H331" i="10"/>
  <c r="H330" i="10" s="1"/>
  <c r="H329" i="10" s="1"/>
  <c r="H327" i="10" s="1"/>
  <c r="H339" i="10"/>
  <c r="H338" i="10" s="1"/>
  <c r="H337" i="10" s="1"/>
  <c r="H335" i="10" s="1"/>
  <c r="H356" i="10"/>
  <c r="H355" i="10" s="1"/>
  <c r="H354" i="10" s="1"/>
  <c r="H352" i="10" s="1"/>
  <c r="H365" i="10"/>
  <c r="H368" i="10"/>
  <c r="H371" i="10"/>
  <c r="H370" i="10" s="1"/>
  <c r="H380" i="10"/>
  <c r="H382" i="10"/>
  <c r="H391" i="10"/>
  <c r="H390" i="10" s="1"/>
  <c r="H389" i="10" s="1"/>
  <c r="H395" i="10"/>
  <c r="H394" i="10" s="1"/>
  <c r="H393" i="10" s="1"/>
  <c r="H405" i="10"/>
  <c r="H404" i="10" s="1"/>
  <c r="H412" i="10"/>
  <c r="H411" i="10" s="1"/>
  <c r="H421" i="10"/>
  <c r="H420" i="10" s="1"/>
  <c r="H419" i="10" s="1"/>
  <c r="H417" i="10" s="1"/>
  <c r="H432" i="10"/>
  <c r="H436" i="10"/>
  <c r="H435" i="10" s="1"/>
  <c r="H434" i="10" s="1"/>
  <c r="H444" i="10"/>
  <c r="H446" i="10"/>
  <c r="H459" i="10"/>
  <c r="H458" i="10" s="1"/>
  <c r="H453" i="10" s="1"/>
  <c r="H468" i="10"/>
  <c r="H467" i="10" s="1"/>
  <c r="H462" i="10" s="1"/>
  <c r="H477" i="10"/>
  <c r="H476" i="10" s="1"/>
  <c r="H475" i="10" s="1"/>
  <c r="H481" i="10"/>
  <c r="H483" i="10"/>
  <c r="H486" i="10"/>
  <c r="H485" i="10" s="1"/>
  <c r="H497" i="10"/>
  <c r="H499" i="10"/>
  <c r="H501" i="10"/>
  <c r="H504" i="10"/>
  <c r="H509" i="10"/>
  <c r="H516" i="10"/>
  <c r="H524" i="10"/>
  <c r="H531" i="10"/>
  <c r="H530" i="10" s="1"/>
  <c r="H537" i="10"/>
  <c r="H536" i="10" s="1"/>
  <c r="H535" i="10" s="1"/>
  <c r="H548" i="10"/>
  <c r="H547" i="10" s="1"/>
  <c r="H562" i="10"/>
  <c r="H561" i="10" s="1"/>
  <c r="H560" i="10" s="1"/>
  <c r="H558" i="10" s="1"/>
  <c r="H571" i="10"/>
  <c r="H570" i="10" s="1"/>
  <c r="H569" i="10" s="1"/>
  <c r="H567" i="10" s="1"/>
  <c r="H580" i="10"/>
  <c r="H579" i="10" s="1"/>
  <c r="H578" i="10" s="1"/>
  <c r="H576" i="10" s="1"/>
  <c r="H574" i="10" s="1"/>
  <c r="H590" i="10"/>
  <c r="H589" i="10" s="1"/>
  <c r="H592" i="10"/>
  <c r="H601" i="10"/>
  <c r="H600" i="10" s="1"/>
  <c r="H599" i="10" s="1"/>
  <c r="H597" i="10" s="1"/>
  <c r="H595" i="10" s="1"/>
  <c r="H612" i="10"/>
  <c r="H611" i="10" s="1"/>
  <c r="H610" i="10" s="1"/>
  <c r="H608" i="10" s="1"/>
  <c r="H606" i="10" s="1"/>
  <c r="H621" i="10"/>
  <c r="H620" i="10" s="1"/>
  <c r="H619" i="10" s="1"/>
  <c r="H617" i="10" s="1"/>
  <c r="H615" i="10" s="1"/>
  <c r="H630" i="10"/>
  <c r="H629" i="10" s="1"/>
  <c r="H628" i="10" s="1"/>
  <c r="H626" i="10" s="1"/>
  <c r="H624" i="10" s="1"/>
  <c r="H640" i="10"/>
  <c r="H650" i="10"/>
  <c r="H649" i="10" s="1"/>
  <c r="H658" i="10"/>
  <c r="H657" i="10" s="1"/>
  <c r="H656" i="10" s="1"/>
  <c r="H654" i="10" s="1"/>
  <c r="H666" i="10"/>
  <c r="H668" i="10"/>
  <c r="H670" i="10"/>
  <c r="H672" i="10"/>
  <c r="H683" i="10"/>
  <c r="H693" i="10"/>
  <c r="H692" i="10" s="1"/>
  <c r="H691" i="10" s="1"/>
  <c r="H689" i="10" s="1"/>
  <c r="H687" i="10" s="1"/>
  <c r="H704" i="10"/>
  <c r="H703" i="10" s="1"/>
  <c r="H702" i="10" s="1"/>
  <c r="I705" i="10"/>
  <c r="K705" i="10" s="1"/>
  <c r="I694" i="10"/>
  <c r="K694" i="10" s="1"/>
  <c r="K693" i="10" s="1"/>
  <c r="K692" i="10" s="1"/>
  <c r="K691" i="10" s="1"/>
  <c r="I695" i="10"/>
  <c r="K695" i="10" s="1"/>
  <c r="I684" i="10"/>
  <c r="K684" i="10" s="1"/>
  <c r="I685" i="10"/>
  <c r="K685" i="10" s="1"/>
  <c r="I671" i="10"/>
  <c r="K671" i="10" s="1"/>
  <c r="I674" i="10"/>
  <c r="K674" i="10" s="1"/>
  <c r="I659" i="10"/>
  <c r="K659" i="10" s="1"/>
  <c r="I641" i="10"/>
  <c r="K641" i="10" s="1"/>
  <c r="I642" i="10"/>
  <c r="K642" i="10" s="1"/>
  <c r="I643" i="10"/>
  <c r="K643" i="10" s="1"/>
  <c r="I644" i="10"/>
  <c r="K644" i="10" s="1"/>
  <c r="I645" i="10"/>
  <c r="K645" i="10" s="1"/>
  <c r="I646" i="10"/>
  <c r="K646" i="10" s="1"/>
  <c r="I647" i="10"/>
  <c r="K647" i="10" s="1"/>
  <c r="I648" i="10"/>
  <c r="K648" i="10" s="1"/>
  <c r="I651" i="10"/>
  <c r="K651" i="10" s="1"/>
  <c r="I631" i="10"/>
  <c r="K631" i="10" s="1"/>
  <c r="I622" i="10"/>
  <c r="K622" i="10" s="1"/>
  <c r="I613" i="10"/>
  <c r="K613" i="10" s="1"/>
  <c r="I602" i="10"/>
  <c r="K602" i="10" s="1"/>
  <c r="I603" i="10"/>
  <c r="K603" i="10" s="1"/>
  <c r="I591" i="10"/>
  <c r="K591" i="10" s="1"/>
  <c r="I593" i="10"/>
  <c r="K593" i="10" s="1"/>
  <c r="I572" i="10"/>
  <c r="K572" i="10" s="1"/>
  <c r="I563" i="10"/>
  <c r="K563" i="10" s="1"/>
  <c r="I549" i="10"/>
  <c r="K549" i="10" s="1"/>
  <c r="I498" i="10"/>
  <c r="K498" i="10" s="1"/>
  <c r="I500" i="10"/>
  <c r="K500" i="10" s="1"/>
  <c r="I502" i="10"/>
  <c r="K502" i="10" s="1"/>
  <c r="I505" i="10"/>
  <c r="K505" i="10" s="1"/>
  <c r="I506" i="10"/>
  <c r="K506" i="10" s="1"/>
  <c r="I507" i="10"/>
  <c r="K507" i="10" s="1"/>
  <c r="I508" i="10"/>
  <c r="K508" i="10" s="1"/>
  <c r="I510" i="10"/>
  <c r="K510" i="10" s="1"/>
  <c r="I511" i="10"/>
  <c r="K511" i="10" s="1"/>
  <c r="I512" i="10"/>
  <c r="K512" i="10" s="1"/>
  <c r="I513" i="10"/>
  <c r="K513" i="10" s="1"/>
  <c r="I514" i="10"/>
  <c r="K514" i="10" s="1"/>
  <c r="I515" i="10"/>
  <c r="K515" i="10" s="1"/>
  <c r="I517" i="10"/>
  <c r="K517" i="10" s="1"/>
  <c r="I518" i="10"/>
  <c r="K518" i="10" s="1"/>
  <c r="I519" i="10"/>
  <c r="K519" i="10" s="1"/>
  <c r="I520" i="10"/>
  <c r="K520" i="10" s="1"/>
  <c r="I521" i="10"/>
  <c r="K521" i="10" s="1"/>
  <c r="I522" i="10"/>
  <c r="K522" i="10" s="1"/>
  <c r="I523" i="10"/>
  <c r="K523" i="10" s="1"/>
  <c r="I525" i="10"/>
  <c r="K525" i="10" s="1"/>
  <c r="I526" i="10"/>
  <c r="K526" i="10" s="1"/>
  <c r="I527" i="10"/>
  <c r="K527" i="10" s="1"/>
  <c r="I528" i="10"/>
  <c r="K528" i="10" s="1"/>
  <c r="I529" i="10"/>
  <c r="K529" i="10" s="1"/>
  <c r="I532" i="10"/>
  <c r="K532" i="10" s="1"/>
  <c r="I533" i="10"/>
  <c r="K533" i="10" s="1"/>
  <c r="I534" i="10"/>
  <c r="K534" i="10" s="1"/>
  <c r="I538" i="10"/>
  <c r="K538" i="10" s="1"/>
  <c r="I539" i="10"/>
  <c r="K539" i="10" s="1"/>
  <c r="I478" i="10"/>
  <c r="K478" i="10" s="1"/>
  <c r="I482" i="10"/>
  <c r="K482" i="10" s="1"/>
  <c r="I484" i="10"/>
  <c r="K484" i="10" s="1"/>
  <c r="I487" i="10"/>
  <c r="K487" i="10" s="1"/>
  <c r="I445" i="10"/>
  <c r="K445" i="10" s="1"/>
  <c r="I447" i="10"/>
  <c r="K447" i="10" s="1"/>
  <c r="I433" i="10"/>
  <c r="K433" i="10" s="1"/>
  <c r="I437" i="10"/>
  <c r="K437" i="10" s="1"/>
  <c r="I422" i="10"/>
  <c r="I406" i="10"/>
  <c r="K406" i="10" s="1"/>
  <c r="I408" i="10"/>
  <c r="K408" i="10" s="1"/>
  <c r="I409" i="10"/>
  <c r="K409" i="10" s="1"/>
  <c r="I410" i="10"/>
  <c r="K410" i="10" s="1"/>
  <c r="I413" i="10"/>
  <c r="K413" i="10" s="1"/>
  <c r="I392" i="10"/>
  <c r="K392" i="10" s="1"/>
  <c r="I396" i="10"/>
  <c r="K396" i="10" s="1"/>
  <c r="I397" i="10"/>
  <c r="K397" i="10" s="1"/>
  <c r="I381" i="10"/>
  <c r="K381" i="10" s="1"/>
  <c r="I383" i="10"/>
  <c r="K383" i="10" s="1"/>
  <c r="I384" i="10"/>
  <c r="K384" i="10" s="1"/>
  <c r="I366" i="10"/>
  <c r="K366" i="10" s="1"/>
  <c r="I367" i="10"/>
  <c r="K367" i="10" s="1"/>
  <c r="I357" i="10"/>
  <c r="K357" i="10" s="1"/>
  <c r="I332" i="10"/>
  <c r="K332" i="10" s="1"/>
  <c r="I316" i="10"/>
  <c r="K316" i="10" s="1"/>
  <c r="I308" i="10"/>
  <c r="K308" i="10" s="1"/>
  <c r="I299" i="10"/>
  <c r="K299" i="10" s="1"/>
  <c r="I289" i="10"/>
  <c r="K289" i="10" s="1"/>
  <c r="I277" i="10"/>
  <c r="K277" i="10" s="1"/>
  <c r="I279" i="10"/>
  <c r="K279" i="10" s="1"/>
  <c r="I266" i="10"/>
  <c r="K266" i="10" s="1"/>
  <c r="I268" i="10"/>
  <c r="K268" i="10" s="1"/>
  <c r="I256" i="10"/>
  <c r="K256" i="10" s="1"/>
  <c r="I258" i="10"/>
  <c r="K258" i="10" s="1"/>
  <c r="I240" i="10"/>
  <c r="K240" i="10" s="1"/>
  <c r="I241" i="10"/>
  <c r="K241" i="10" s="1"/>
  <c r="I244" i="10"/>
  <c r="K244" i="10" s="1"/>
  <c r="I246" i="10"/>
  <c r="K246" i="10" s="1"/>
  <c r="I247" i="10"/>
  <c r="K247" i="10" s="1"/>
  <c r="I232" i="10"/>
  <c r="K232" i="10" s="1"/>
  <c r="I212" i="10"/>
  <c r="K212" i="10" s="1"/>
  <c r="I200" i="10"/>
  <c r="K200" i="10" s="1"/>
  <c r="I186" i="10"/>
  <c r="K186" i="10" s="1"/>
  <c r="I175" i="10"/>
  <c r="K175" i="10" s="1"/>
  <c r="I163" i="10"/>
  <c r="K163" i="10" s="1"/>
  <c r="I164" i="10"/>
  <c r="K164" i="10" s="1"/>
  <c r="I155" i="10"/>
  <c r="K155" i="10" s="1"/>
  <c r="I120" i="10"/>
  <c r="K120" i="10" s="1"/>
  <c r="I123" i="10"/>
  <c r="K123" i="10" s="1"/>
  <c r="I125" i="10"/>
  <c r="K125" i="10" s="1"/>
  <c r="I63" i="10"/>
  <c r="I66" i="10"/>
  <c r="I68" i="10"/>
  <c r="I70" i="10"/>
  <c r="I71" i="10"/>
  <c r="I72" i="10"/>
  <c r="I73" i="10"/>
  <c r="I74" i="10"/>
  <c r="I77" i="10"/>
  <c r="I78" i="10"/>
  <c r="I79" i="10"/>
  <c r="I82" i="10"/>
  <c r="I83" i="10"/>
  <c r="I85" i="10"/>
  <c r="I87" i="10"/>
  <c r="I88" i="10"/>
  <c r="I89" i="10"/>
  <c r="I90" i="10"/>
  <c r="I91" i="10"/>
  <c r="I92" i="10"/>
  <c r="I96" i="10"/>
  <c r="I98" i="10"/>
  <c r="I101" i="10"/>
  <c r="I102" i="10"/>
  <c r="I103" i="10"/>
  <c r="I108" i="10"/>
  <c r="I109" i="10"/>
  <c r="I34" i="10"/>
  <c r="K34" i="10" s="1"/>
  <c r="I35" i="10"/>
  <c r="K35" i="10" s="1"/>
  <c r="I38" i="10"/>
  <c r="K38" i="10" s="1"/>
  <c r="I39" i="10"/>
  <c r="K39" i="10" s="1"/>
  <c r="I13" i="10"/>
  <c r="K13" i="10" s="1"/>
  <c r="I15" i="10"/>
  <c r="K15" i="10" s="1"/>
  <c r="I18" i="10"/>
  <c r="K18" i="10" s="1"/>
  <c r="I20" i="10"/>
  <c r="K20" i="10" s="1"/>
  <c r="I21" i="10"/>
  <c r="K21" i="10" s="1"/>
  <c r="I22" i="10"/>
  <c r="K22" i="10" s="1"/>
  <c r="I23" i="10"/>
  <c r="K23" i="10" s="1"/>
  <c r="K58" i="13"/>
  <c r="M58" i="13" s="1"/>
  <c r="K49" i="13"/>
  <c r="M49" i="13" s="1"/>
  <c r="K51" i="13"/>
  <c r="M51" i="13" s="1"/>
  <c r="K52" i="13"/>
  <c r="M52" i="13" s="1"/>
  <c r="K47" i="13"/>
  <c r="M47" i="13" s="1"/>
  <c r="K33" i="13"/>
  <c r="M33" i="13" s="1"/>
  <c r="K34" i="13"/>
  <c r="M34" i="13" s="1"/>
  <c r="K35" i="13"/>
  <c r="M35" i="13" s="1"/>
  <c r="K37" i="13"/>
  <c r="M37" i="13" s="1"/>
  <c r="K38" i="13"/>
  <c r="M38" i="13" s="1"/>
  <c r="K39" i="13"/>
  <c r="M39" i="13" s="1"/>
  <c r="K40" i="13"/>
  <c r="M40" i="13" s="1"/>
  <c r="K41" i="13"/>
  <c r="M41" i="13" s="1"/>
  <c r="K42" i="13"/>
  <c r="M42" i="13" s="1"/>
  <c r="K44" i="13"/>
  <c r="M44" i="13" s="1"/>
  <c r="K31" i="13"/>
  <c r="M31" i="13" s="1"/>
  <c r="K13" i="13"/>
  <c r="M13" i="13" s="1"/>
  <c r="K14" i="13"/>
  <c r="M14" i="13" s="1"/>
  <c r="K18" i="13"/>
  <c r="M18" i="13" s="1"/>
  <c r="K19" i="13"/>
  <c r="M19" i="13" s="1"/>
  <c r="K23" i="13"/>
  <c r="M23" i="13" s="1"/>
  <c r="K25" i="13"/>
  <c r="M25" i="13" s="1"/>
  <c r="K26" i="13"/>
  <c r="M26" i="13" s="1"/>
  <c r="K27" i="13"/>
  <c r="M27" i="13" s="1"/>
  <c r="K29" i="13"/>
  <c r="M29" i="13" s="1"/>
  <c r="K5" i="13"/>
  <c r="M5" i="13" s="1"/>
  <c r="K6" i="13"/>
  <c r="M6" i="13" s="1"/>
  <c r="K7" i="13"/>
  <c r="M7" i="13" s="1"/>
  <c r="K8" i="13"/>
  <c r="M8" i="13" s="1"/>
  <c r="I17" i="13"/>
  <c r="I9" i="13" s="1"/>
  <c r="R17" i="13"/>
  <c r="H68" i="13"/>
  <c r="K68" i="13" s="1"/>
  <c r="H64" i="13"/>
  <c r="H57" i="13"/>
  <c r="H56" i="13" s="1"/>
  <c r="H53" i="13"/>
  <c r="K53" i="13" s="1"/>
  <c r="M53" i="13" s="1"/>
  <c r="H50" i="13"/>
  <c r="H43" i="13"/>
  <c r="K43" i="13" s="1"/>
  <c r="M43" i="13" s="1"/>
  <c r="H36" i="13"/>
  <c r="H24" i="13"/>
  <c r="K24" i="13" s="1"/>
  <c r="M24" i="13" s="1"/>
  <c r="H22" i="13"/>
  <c r="K22" i="13" s="1"/>
  <c r="M22" i="13" s="1"/>
  <c r="H21" i="13"/>
  <c r="K21" i="13" s="1"/>
  <c r="M21" i="13" s="1"/>
  <c r="H17" i="13"/>
  <c r="K17" i="13" s="1"/>
  <c r="M17" i="13" s="1"/>
  <c r="H16" i="13"/>
  <c r="K16" i="13" s="1"/>
  <c r="M16" i="13" s="1"/>
  <c r="H11" i="13"/>
  <c r="H4" i="13"/>
  <c r="H3" i="13" s="1"/>
  <c r="E291" i="7"/>
  <c r="G291" i="7" s="1"/>
  <c r="I291" i="7" s="1"/>
  <c r="H80" i="10" l="1"/>
  <c r="H64" i="10" s="1"/>
  <c r="K97" i="10"/>
  <c r="H544" i="10"/>
  <c r="H542" i="10" s="1"/>
  <c r="H540" i="10" s="1"/>
  <c r="H45" i="13"/>
  <c r="H291" i="10"/>
  <c r="H348" i="10"/>
  <c r="H117" i="10"/>
  <c r="H115" i="10" s="1"/>
  <c r="F415" i="10"/>
  <c r="I97" i="10"/>
  <c r="H9" i="13"/>
  <c r="H30" i="13"/>
  <c r="H443" i="10"/>
  <c r="H442" i="10" s="1"/>
  <c r="H440" i="10" s="1"/>
  <c r="H429" i="10"/>
  <c r="H428" i="10" s="1"/>
  <c r="H426" i="10" s="1"/>
  <c r="H254" i="10"/>
  <c r="H253" i="10" s="1"/>
  <c r="H251" i="10" s="1"/>
  <c r="H364" i="10"/>
  <c r="H363" i="10" s="1"/>
  <c r="H361" i="10" s="1"/>
  <c r="F56" i="10"/>
  <c r="F53" i="10" s="1"/>
  <c r="F51" i="10" s="1"/>
  <c r="F50" i="10" s="1"/>
  <c r="H275" i="10"/>
  <c r="H274" i="10" s="1"/>
  <c r="H272" i="10" s="1"/>
  <c r="F216" i="10"/>
  <c r="H57" i="10"/>
  <c r="H588" i="10"/>
  <c r="H586" i="10" s="1"/>
  <c r="H584" i="10" s="1"/>
  <c r="H583" i="10" s="1"/>
  <c r="H238" i="10"/>
  <c r="H237" i="10" s="1"/>
  <c r="H235" i="10" s="1"/>
  <c r="F495" i="10"/>
  <c r="H605" i="10"/>
  <c r="H473" i="10"/>
  <c r="H471" i="10" s="1"/>
  <c r="H379" i="10"/>
  <c r="H378" i="10" s="1"/>
  <c r="H375" i="10" s="1"/>
  <c r="H285" i="10"/>
  <c r="H284" i="10" s="1"/>
  <c r="H282" i="10" s="1"/>
  <c r="H264" i="10"/>
  <c r="H263" i="10" s="1"/>
  <c r="H261" i="10" s="1"/>
  <c r="H161" i="10"/>
  <c r="H160" i="10" s="1"/>
  <c r="H158" i="10" s="1"/>
  <c r="H496" i="10"/>
  <c r="H197" i="10"/>
  <c r="H194" i="10" s="1"/>
  <c r="H192" i="10" s="1"/>
  <c r="H191" i="10" s="1"/>
  <c r="H31" i="10"/>
  <c r="H29" i="10" s="1"/>
  <c r="H8" i="10"/>
  <c r="H503" i="10"/>
  <c r="H16" i="10"/>
  <c r="K4" i="13"/>
  <c r="F359" i="10"/>
  <c r="F492" i="10"/>
  <c r="F490" i="10" s="1"/>
  <c r="F489" i="10" s="1"/>
  <c r="F634" i="10"/>
  <c r="F633" i="10" s="1"/>
  <c r="F6" i="10"/>
  <c r="F5" i="10" s="1"/>
  <c r="F4" i="10" s="1"/>
  <c r="F10" i="10"/>
  <c r="H387" i="10"/>
  <c r="H403" i="10"/>
  <c r="H401" i="10" s="1"/>
  <c r="H399" i="10" s="1"/>
  <c r="H11" i="10"/>
  <c r="H480" i="10"/>
  <c r="H479" i="10" s="1"/>
  <c r="H665" i="10"/>
  <c r="H664" i="10" s="1"/>
  <c r="H662" i="10" s="1"/>
  <c r="K11" i="13"/>
  <c r="K36" i="13"/>
  <c r="K50" i="13"/>
  <c r="H182" i="10"/>
  <c r="H181" i="10" s="1"/>
  <c r="H179" i="10" s="1"/>
  <c r="H177" i="10" s="1"/>
  <c r="H700" i="10"/>
  <c r="H698" i="10" s="1"/>
  <c r="H697" i="10" s="1"/>
  <c r="H639" i="10"/>
  <c r="H638" i="10" s="1"/>
  <c r="H636" i="10" s="1"/>
  <c r="H682" i="10"/>
  <c r="G18" i="1"/>
  <c r="F18" i="11"/>
  <c r="H18" i="11" s="1"/>
  <c r="F76" i="11"/>
  <c r="H76" i="11" s="1"/>
  <c r="F73" i="11"/>
  <c r="H73" i="11" s="1"/>
  <c r="F66" i="11"/>
  <c r="H66" i="11" s="1"/>
  <c r="F63" i="11"/>
  <c r="H63" i="11" s="1"/>
  <c r="H82" i="11"/>
  <c r="H59" i="11"/>
  <c r="E107" i="7"/>
  <c r="E108" i="7"/>
  <c r="G108" i="7" s="1"/>
  <c r="I108" i="7" s="1"/>
  <c r="E112" i="7"/>
  <c r="E194" i="7"/>
  <c r="H10" i="11"/>
  <c r="E43" i="5"/>
  <c r="E42" i="5"/>
  <c r="E33" i="5"/>
  <c r="C32" i="5"/>
  <c r="E32" i="5" s="1"/>
  <c r="C31" i="5"/>
  <c r="C13" i="5"/>
  <c r="E27" i="5"/>
  <c r="E22" i="5"/>
  <c r="C21" i="5"/>
  <c r="E25" i="5"/>
  <c r="E26" i="5"/>
  <c r="C17" i="5"/>
  <c r="C18" i="5"/>
  <c r="E18" i="5" s="1"/>
  <c r="E19" i="5"/>
  <c r="E11" i="5"/>
  <c r="C9" i="5"/>
  <c r="K45" i="13" l="1"/>
  <c r="M50" i="13"/>
  <c r="M45" i="13" s="1"/>
  <c r="M11" i="13"/>
  <c r="M9" i="13" s="1"/>
  <c r="K9" i="13"/>
  <c r="K30" i="13"/>
  <c r="M36" i="13"/>
  <c r="M30" i="13" s="1"/>
  <c r="K3" i="13"/>
  <c r="M4" i="13"/>
  <c r="M3" i="13" s="1"/>
  <c r="M2" i="13" s="1"/>
  <c r="M60" i="13" s="1"/>
  <c r="H415" i="10"/>
  <c r="H634" i="10"/>
  <c r="E17" i="5"/>
  <c r="E16" i="5" s="1"/>
  <c r="C16" i="5"/>
  <c r="E15" i="5"/>
  <c r="E14" i="5" s="1"/>
  <c r="C14" i="5"/>
  <c r="E13" i="5"/>
  <c r="E12" i="5" s="1"/>
  <c r="C12" i="5"/>
  <c r="E24" i="5"/>
  <c r="E23" i="5" s="1"/>
  <c r="C23" i="5"/>
  <c r="E31" i="5"/>
  <c r="E30" i="5" s="1"/>
  <c r="C30" i="5"/>
  <c r="E41" i="5"/>
  <c r="E40" i="5" s="1"/>
  <c r="C40" i="5"/>
  <c r="E21" i="5"/>
  <c r="E20" i="5" s="1"/>
  <c r="C20" i="5"/>
  <c r="E37" i="5"/>
  <c r="E35" i="5" s="1"/>
  <c r="C35" i="5"/>
  <c r="E10" i="5"/>
  <c r="E9" i="5" s="1"/>
  <c r="H216" i="10"/>
  <c r="H56" i="10"/>
  <c r="H53" i="10" s="1"/>
  <c r="H51" i="10" s="1"/>
  <c r="H50" i="10" s="1"/>
  <c r="F214" i="10"/>
  <c r="F49" i="10" s="1"/>
  <c r="F3" i="10" s="1"/>
  <c r="H495" i="10"/>
  <c r="H10" i="10"/>
  <c r="H6" i="10"/>
  <c r="H5" i="10" s="1"/>
  <c r="H4" i="10" s="1"/>
  <c r="H359" i="10"/>
  <c r="H492" i="10"/>
  <c r="H490" i="10" s="1"/>
  <c r="H489" i="10" s="1"/>
  <c r="H2" i="13"/>
  <c r="H60" i="13" s="1"/>
  <c r="H66" i="13" s="1"/>
  <c r="H70" i="13" s="1"/>
  <c r="H681" i="10"/>
  <c r="F81" i="11"/>
  <c r="H214" i="10" l="1"/>
  <c r="C7" i="5"/>
  <c r="E7" i="5" s="1"/>
  <c r="H679" i="10"/>
  <c r="H677" i="10" s="1"/>
  <c r="H633" i="10" s="1"/>
  <c r="G140" i="7"/>
  <c r="I140" i="7" s="1"/>
  <c r="I136" i="7" s="1"/>
  <c r="G76" i="7"/>
  <c r="I76" i="7" s="1"/>
  <c r="I73" i="7" s="1"/>
  <c r="I72" i="7" s="1"/>
  <c r="G267" i="7"/>
  <c r="G251" i="7"/>
  <c r="I251" i="7" s="1"/>
  <c r="G167" i="7"/>
  <c r="I167" i="7" s="1"/>
  <c r="G161" i="7"/>
  <c r="G262" i="7" l="1"/>
  <c r="I267" i="7"/>
  <c r="I262" i="7" s="1"/>
  <c r="G156" i="7"/>
  <c r="I156" i="7" s="1"/>
  <c r="I161" i="7"/>
  <c r="H49" i="10"/>
  <c r="H3" i="10" s="1"/>
  <c r="G274" i="7"/>
  <c r="G207" i="7"/>
  <c r="I207" i="7" s="1"/>
  <c r="I202" i="7" s="1"/>
  <c r="I200" i="7" s="1"/>
  <c r="G70" i="7"/>
  <c r="G82" i="7"/>
  <c r="G91" i="7"/>
  <c r="G98" i="7"/>
  <c r="G113" i="7"/>
  <c r="I113" i="7" s="1"/>
  <c r="G118" i="7"/>
  <c r="G123" i="7"/>
  <c r="G128" i="7"/>
  <c r="G134" i="7"/>
  <c r="G147" i="7"/>
  <c r="I147" i="7" s="1"/>
  <c r="I142" i="7" s="1"/>
  <c r="G213" i="7"/>
  <c r="I213" i="7" s="1"/>
  <c r="I210" i="7" s="1"/>
  <c r="G219" i="7"/>
  <c r="G227" i="7"/>
  <c r="I227" i="7" s="1"/>
  <c r="G234" i="7"/>
  <c r="I234" i="7" s="1"/>
  <c r="I230" i="7" s="1"/>
  <c r="I229" i="7" s="1"/>
  <c r="G249" i="7"/>
  <c r="I249" i="7" s="1"/>
  <c r="I243" i="7" s="1"/>
  <c r="G258" i="7"/>
  <c r="I258" i="7" s="1"/>
  <c r="I255" i="7" s="1"/>
  <c r="G281" i="7"/>
  <c r="I281" i="7" s="1"/>
  <c r="G283" i="7"/>
  <c r="I283" i="7" s="1"/>
  <c r="G297" i="7"/>
  <c r="G302" i="7"/>
  <c r="G316" i="7"/>
  <c r="G323" i="7"/>
  <c r="I323" i="7" s="1"/>
  <c r="I319" i="7" s="1"/>
  <c r="I318" i="7" s="1"/>
  <c r="G329" i="7"/>
  <c r="I329" i="7" s="1"/>
  <c r="I326" i="7" s="1"/>
  <c r="I325" i="7" s="1"/>
  <c r="G338" i="7"/>
  <c r="I338" i="7" s="1"/>
  <c r="I334" i="7" s="1"/>
  <c r="I333" i="7" s="1"/>
  <c r="G345" i="7"/>
  <c r="I345" i="7" s="1"/>
  <c r="G353" i="7"/>
  <c r="I353" i="7" s="1"/>
  <c r="G359" i="7"/>
  <c r="I359" i="7" s="1"/>
  <c r="I356" i="7" s="1"/>
  <c r="I355" i="7" s="1"/>
  <c r="G365" i="7"/>
  <c r="I365" i="7" s="1"/>
  <c r="G372" i="7"/>
  <c r="I372" i="7" s="1"/>
  <c r="G378" i="7"/>
  <c r="I378" i="7" s="1"/>
  <c r="I377" i="7" s="1"/>
  <c r="G383" i="7"/>
  <c r="I383" i="7" s="1"/>
  <c r="I382" i="7" s="1"/>
  <c r="I380" i="7" s="1"/>
  <c r="G390" i="7"/>
  <c r="I390" i="7" s="1"/>
  <c r="I389" i="7" s="1"/>
  <c r="G396" i="7"/>
  <c r="I396" i="7" s="1"/>
  <c r="G404" i="7"/>
  <c r="E404" i="7"/>
  <c r="E396" i="7"/>
  <c r="E390" i="7"/>
  <c r="E383" i="7"/>
  <c r="E378" i="7"/>
  <c r="E372" i="7"/>
  <c r="E365" i="7"/>
  <c r="E359" i="7"/>
  <c r="E353" i="7"/>
  <c r="E345" i="7"/>
  <c r="E338" i="7"/>
  <c r="E329" i="7"/>
  <c r="E323" i="7"/>
  <c r="E316" i="7"/>
  <c r="E313" i="7" s="1"/>
  <c r="E315" i="7" s="1"/>
  <c r="E307" i="7"/>
  <c r="E297" i="7"/>
  <c r="E293" i="7"/>
  <c r="E283" i="7"/>
  <c r="E281" i="7"/>
  <c r="E274" i="7"/>
  <c r="E269" i="7" s="1"/>
  <c r="E273" i="7" s="1"/>
  <c r="E267" i="7"/>
  <c r="E262" i="7" s="1"/>
  <c r="E266" i="7" s="1"/>
  <c r="E258" i="7"/>
  <c r="E255" i="7" s="1"/>
  <c r="E257" i="7" s="1"/>
  <c r="E251" i="7"/>
  <c r="E249" i="7"/>
  <c r="E241" i="7"/>
  <c r="G241" i="7" s="1"/>
  <c r="E234" i="7"/>
  <c r="E227" i="7"/>
  <c r="E225" i="7"/>
  <c r="G225" i="7" s="1"/>
  <c r="I225" i="7" s="1"/>
  <c r="E219" i="7"/>
  <c r="E216" i="7" s="1"/>
  <c r="E218" i="7" s="1"/>
  <c r="E213" i="7"/>
  <c r="E207" i="7"/>
  <c r="E198" i="7"/>
  <c r="I198" i="7" s="1"/>
  <c r="E190" i="7"/>
  <c r="E175" i="7"/>
  <c r="E167" i="7"/>
  <c r="E161" i="7"/>
  <c r="E153" i="7"/>
  <c r="G153" i="7" s="1"/>
  <c r="I153" i="7" s="1"/>
  <c r="I150" i="7" s="1"/>
  <c r="E147" i="7"/>
  <c r="E140" i="7"/>
  <c r="E134" i="7"/>
  <c r="E130" i="7" s="1"/>
  <c r="E128" i="7"/>
  <c r="E125" i="7" s="1"/>
  <c r="E127" i="7" s="1"/>
  <c r="E123" i="7"/>
  <c r="E120" i="7" s="1"/>
  <c r="E122" i="7" s="1"/>
  <c r="E118" i="7"/>
  <c r="E115" i="7" s="1"/>
  <c r="E117" i="7" s="1"/>
  <c r="E113" i="7"/>
  <c r="E98" i="7"/>
  <c r="E95" i="7" s="1"/>
  <c r="E97" i="7" s="1"/>
  <c r="E91" i="7"/>
  <c r="E87" i="7" s="1"/>
  <c r="E90" i="7" s="1"/>
  <c r="E82" i="7"/>
  <c r="E79" i="7" s="1"/>
  <c r="E81" i="7" s="1"/>
  <c r="E76" i="7"/>
  <c r="E70" i="7"/>
  <c r="E67" i="7" s="1"/>
  <c r="E69" i="7" s="1"/>
  <c r="E65" i="7"/>
  <c r="E62" i="7" s="1"/>
  <c r="I297" i="7" l="1"/>
  <c r="I288" i="7" s="1"/>
  <c r="I287" i="7" s="1"/>
  <c r="G288" i="7"/>
  <c r="G287" i="7" s="1"/>
  <c r="I221" i="7"/>
  <c r="I349" i="7"/>
  <c r="I348" i="7" s="1"/>
  <c r="I352" i="7"/>
  <c r="G115" i="7"/>
  <c r="G117" i="7" s="1"/>
  <c r="I117" i="7" s="1"/>
  <c r="I118" i="7"/>
  <c r="I115" i="7" s="1"/>
  <c r="G95" i="7"/>
  <c r="G94" i="7" s="1"/>
  <c r="I98" i="7"/>
  <c r="I95" i="7" s="1"/>
  <c r="I94" i="7" s="1"/>
  <c r="I344" i="7"/>
  <c r="I342" i="7"/>
  <c r="I341" i="7" s="1"/>
  <c r="I331" i="7" s="1"/>
  <c r="G313" i="7"/>
  <c r="G315" i="7" s="1"/>
  <c r="I315" i="7" s="1"/>
  <c r="I316" i="7"/>
  <c r="I313" i="7" s="1"/>
  <c r="I301" i="7" s="1"/>
  <c r="G130" i="7"/>
  <c r="I134" i="7"/>
  <c r="I130" i="7" s="1"/>
  <c r="G120" i="7"/>
  <c r="G122" i="7" s="1"/>
  <c r="I122" i="7" s="1"/>
  <c r="I123" i="7"/>
  <c r="I120" i="7" s="1"/>
  <c r="G87" i="7"/>
  <c r="G90" i="7" s="1"/>
  <c r="I90" i="7" s="1"/>
  <c r="I91" i="7"/>
  <c r="I87" i="7" s="1"/>
  <c r="I86" i="7" s="1"/>
  <c r="G67" i="7"/>
  <c r="G69" i="7" s="1"/>
  <c r="I69" i="7" s="1"/>
  <c r="I70" i="7"/>
  <c r="I67" i="7" s="1"/>
  <c r="G269" i="7"/>
  <c r="I274" i="7"/>
  <c r="I269" i="7" s="1"/>
  <c r="I237" i="7" s="1"/>
  <c r="G125" i="7"/>
  <c r="G127" i="7" s="1"/>
  <c r="I127" i="7" s="1"/>
  <c r="I128" i="7"/>
  <c r="I125" i="7" s="1"/>
  <c r="G79" i="7"/>
  <c r="G78" i="7" s="1"/>
  <c r="I82" i="7"/>
  <c r="I79" i="7" s="1"/>
  <c r="I78" i="7" s="1"/>
  <c r="I277" i="7"/>
  <c r="I276" i="7" s="1"/>
  <c r="G216" i="7"/>
  <c r="G218" i="7" s="1"/>
  <c r="I218" i="7" s="1"/>
  <c r="I219" i="7"/>
  <c r="I216" i="7" s="1"/>
  <c r="I364" i="7"/>
  <c r="I362" i="7"/>
  <c r="I361" i="7" s="1"/>
  <c r="G255" i="7"/>
  <c r="G257" i="7" s="1"/>
  <c r="I257" i="7" s="1"/>
  <c r="E185" i="7"/>
  <c r="G190" i="7"/>
  <c r="I190" i="7" s="1"/>
  <c r="E64" i="7"/>
  <c r="G64" i="7" s="1"/>
  <c r="I64" i="7" s="1"/>
  <c r="G62" i="7"/>
  <c r="I62" i="7" s="1"/>
  <c r="E169" i="7"/>
  <c r="I175" i="7"/>
  <c r="G60" i="7"/>
  <c r="E60" i="7"/>
  <c r="E57" i="7" s="1"/>
  <c r="E59" i="7" s="1"/>
  <c r="G24" i="7"/>
  <c r="I24" i="7" s="1"/>
  <c r="G30" i="7"/>
  <c r="G40" i="7"/>
  <c r="E40" i="7"/>
  <c r="E35" i="7" s="1"/>
  <c r="E37" i="7" s="1"/>
  <c r="E30" i="7"/>
  <c r="E27" i="7" s="1"/>
  <c r="E29" i="7" s="1"/>
  <c r="F22" i="11"/>
  <c r="H22" i="11" s="1"/>
  <c r="E24" i="7"/>
  <c r="E17" i="7"/>
  <c r="F52" i="11"/>
  <c r="F51" i="11" s="1"/>
  <c r="I209" i="7" l="1"/>
  <c r="I286" i="7"/>
  <c r="I85" i="7"/>
  <c r="G27" i="7"/>
  <c r="G29" i="7" s="1"/>
  <c r="I29" i="7" s="1"/>
  <c r="I30" i="7"/>
  <c r="I27" i="7" s="1"/>
  <c r="G57" i="7"/>
  <c r="G59" i="7" s="1"/>
  <c r="I59" i="7" s="1"/>
  <c r="I60" i="7"/>
  <c r="I57" i="7" s="1"/>
  <c r="I347" i="7"/>
  <c r="G35" i="7"/>
  <c r="I40" i="7"/>
  <c r="I35" i="7" s="1"/>
  <c r="G81" i="7"/>
  <c r="I81" i="7" s="1"/>
  <c r="G97" i="7"/>
  <c r="I97" i="7" s="1"/>
  <c r="E174" i="7"/>
  <c r="I174" i="7" s="1"/>
  <c r="I169" i="7"/>
  <c r="E189" i="7"/>
  <c r="G189" i="7" s="1"/>
  <c r="I189" i="7" s="1"/>
  <c r="G185" i="7"/>
  <c r="I185" i="7" s="1"/>
  <c r="G95" i="10"/>
  <c r="G93" i="10"/>
  <c r="G26" i="10"/>
  <c r="I26" i="10" s="1"/>
  <c r="K26" i="10" s="1"/>
  <c r="G287" i="10"/>
  <c r="I287" i="10" s="1"/>
  <c r="K287" i="10" s="1"/>
  <c r="G269" i="10"/>
  <c r="I269" i="10" s="1"/>
  <c r="K269" i="10" s="1"/>
  <c r="G248" i="10"/>
  <c r="I248" i="10" s="1"/>
  <c r="K248" i="10" s="1"/>
  <c r="G105" i="10"/>
  <c r="G86" i="10"/>
  <c r="G581" i="10"/>
  <c r="I581" i="10" s="1"/>
  <c r="K581" i="10" s="1"/>
  <c r="G469" i="10"/>
  <c r="I469" i="10" s="1"/>
  <c r="K469" i="10" s="1"/>
  <c r="G460" i="10"/>
  <c r="I460" i="10" s="1"/>
  <c r="K460" i="10" s="1"/>
  <c r="G340" i="10"/>
  <c r="I340" i="10" s="1"/>
  <c r="K340" i="10" s="1"/>
  <c r="G324" i="10"/>
  <c r="I324" i="10" s="1"/>
  <c r="K324" i="10" s="1"/>
  <c r="G224" i="10"/>
  <c r="I224" i="10" s="1"/>
  <c r="G147" i="10"/>
  <c r="I147" i="10" s="1"/>
  <c r="K147" i="10" s="1"/>
  <c r="G76" i="10"/>
  <c r="G75" i="10"/>
  <c r="I34" i="7" l="1"/>
  <c r="I33" i="7" s="1"/>
  <c r="I76" i="10"/>
  <c r="K76" i="10"/>
  <c r="I86" i="10"/>
  <c r="K86" i="10"/>
  <c r="I105" i="10"/>
  <c r="K105" i="10"/>
  <c r="I93" i="10"/>
  <c r="K93" i="10"/>
  <c r="I75" i="10"/>
  <c r="K75" i="10"/>
  <c r="I95" i="10"/>
  <c r="K95" i="10"/>
  <c r="G486" i="10"/>
  <c r="G477" i="10"/>
  <c r="G483" i="10"/>
  <c r="I483" i="10" s="1"/>
  <c r="K483" i="10" s="1"/>
  <c r="G481" i="10"/>
  <c r="I481" i="10" s="1"/>
  <c r="K481" i="10" s="1"/>
  <c r="G476" i="10" l="1"/>
  <c r="I477" i="10"/>
  <c r="K477" i="10" s="1"/>
  <c r="G485" i="10"/>
  <c r="I485" i="10" s="1"/>
  <c r="K485" i="10" s="1"/>
  <c r="I486" i="10"/>
  <c r="K486" i="10" s="1"/>
  <c r="G480" i="10"/>
  <c r="G307" i="10"/>
  <c r="G298" i="10"/>
  <c r="G162" i="10"/>
  <c r="I162" i="10" s="1"/>
  <c r="K162" i="10" s="1"/>
  <c r="G154" i="10"/>
  <c r="G69" i="10"/>
  <c r="G459" i="10"/>
  <c r="G468" i="10"/>
  <c r="G223" i="10"/>
  <c r="G650" i="10"/>
  <c r="G704" i="10"/>
  <c r="G693" i="10"/>
  <c r="G683" i="10"/>
  <c r="G658" i="10"/>
  <c r="G630" i="10"/>
  <c r="G621" i="10"/>
  <c r="G612" i="10"/>
  <c r="G601" i="10"/>
  <c r="G590" i="10"/>
  <c r="G592" i="10"/>
  <c r="I592" i="10" s="1"/>
  <c r="K592" i="10" s="1"/>
  <c r="G580" i="10"/>
  <c r="G571" i="10"/>
  <c r="G562" i="10"/>
  <c r="P563" i="10"/>
  <c r="G548" i="10"/>
  <c r="G412" i="10"/>
  <c r="G395" i="10"/>
  <c r="G391" i="10"/>
  <c r="G444" i="10"/>
  <c r="I444" i="10" s="1"/>
  <c r="K444" i="10" s="1"/>
  <c r="G446" i="10"/>
  <c r="I446" i="10" s="1"/>
  <c r="K446" i="10" s="1"/>
  <c r="G432" i="10"/>
  <c r="G429" i="10" s="1"/>
  <c r="G436" i="10"/>
  <c r="G421" i="10"/>
  <c r="G380" i="10"/>
  <c r="I380" i="10" s="1"/>
  <c r="K380" i="10" s="1"/>
  <c r="G382" i="10"/>
  <c r="I382" i="10" s="1"/>
  <c r="K382" i="10" s="1"/>
  <c r="G365" i="10"/>
  <c r="I365" i="10" s="1"/>
  <c r="K365" i="10" s="1"/>
  <c r="G356" i="10"/>
  <c r="G339" i="10"/>
  <c r="G331" i="10"/>
  <c r="G323" i="10"/>
  <c r="G315" i="10"/>
  <c r="G286" i="10"/>
  <c r="I286" i="10" s="1"/>
  <c r="K286" i="10" s="1"/>
  <c r="G288" i="10"/>
  <c r="I288" i="10" s="1"/>
  <c r="K288" i="10" s="1"/>
  <c r="G276" i="10"/>
  <c r="I276" i="10" s="1"/>
  <c r="K276" i="10" s="1"/>
  <c r="G278" i="10"/>
  <c r="I278" i="10" s="1"/>
  <c r="K278" i="10" s="1"/>
  <c r="G255" i="10"/>
  <c r="I255" i="10" s="1"/>
  <c r="K255" i="10" s="1"/>
  <c r="G257" i="10"/>
  <c r="I257" i="10" s="1"/>
  <c r="K257" i="10" s="1"/>
  <c r="G245" i="10"/>
  <c r="I245" i="10" s="1"/>
  <c r="K245" i="10" s="1"/>
  <c r="G231" i="10"/>
  <c r="G166" i="10"/>
  <c r="G146" i="10"/>
  <c r="G265" i="10"/>
  <c r="I265" i="10" s="1"/>
  <c r="K265" i="10" s="1"/>
  <c r="G267" i="10"/>
  <c r="I267" i="10" s="1"/>
  <c r="K267" i="10" s="1"/>
  <c r="G211" i="10"/>
  <c r="G185" i="10"/>
  <c r="I185" i="10" s="1"/>
  <c r="K185" i="10" s="1"/>
  <c r="G174" i="10"/>
  <c r="G119" i="10"/>
  <c r="G673" i="10"/>
  <c r="G670" i="10"/>
  <c r="I670" i="10" s="1"/>
  <c r="K670" i="10" s="1"/>
  <c r="G199" i="10"/>
  <c r="G62" i="10"/>
  <c r="G59" i="10"/>
  <c r="K59" i="10" s="1"/>
  <c r="O13" i="10"/>
  <c r="R59" i="10"/>
  <c r="P59" i="10"/>
  <c r="Q59" i="10"/>
  <c r="G47" i="10"/>
  <c r="G33" i="10"/>
  <c r="G37" i="10"/>
  <c r="G19" i="10"/>
  <c r="I19" i="10" s="1"/>
  <c r="K19" i="10" s="1"/>
  <c r="G25" i="10"/>
  <c r="G17" i="10"/>
  <c r="I17" i="10" s="1"/>
  <c r="K17" i="10" s="1"/>
  <c r="G14" i="10"/>
  <c r="I14" i="10" s="1"/>
  <c r="K14" i="10" s="1"/>
  <c r="G12" i="10"/>
  <c r="I12" i="10" s="1"/>
  <c r="K12" i="10" s="1"/>
  <c r="K57" i="13"/>
  <c r="K2" i="13"/>
  <c r="I62" i="10" l="1"/>
  <c r="K62" i="10"/>
  <c r="I69" i="10"/>
  <c r="K69" i="10"/>
  <c r="G314" i="10"/>
  <c r="I315" i="10"/>
  <c r="K315" i="10" s="1"/>
  <c r="G611" i="10"/>
  <c r="I612" i="10"/>
  <c r="K612" i="10" s="1"/>
  <c r="G639" i="10"/>
  <c r="I639" i="10" s="1"/>
  <c r="K639" i="10" s="1"/>
  <c r="I640" i="10"/>
  <c r="K640" i="10" s="1"/>
  <c r="G58" i="10"/>
  <c r="I59" i="10"/>
  <c r="G435" i="10"/>
  <c r="I436" i="10"/>
  <c r="K436" i="10" s="1"/>
  <c r="G390" i="10"/>
  <c r="I391" i="10"/>
  <c r="K391" i="10" s="1"/>
  <c r="G620" i="10"/>
  <c r="I621" i="10"/>
  <c r="K621" i="10" s="1"/>
  <c r="G692" i="10"/>
  <c r="I693" i="10"/>
  <c r="G222" i="10"/>
  <c r="I223" i="10"/>
  <c r="K224" i="10" s="1"/>
  <c r="G306" i="10"/>
  <c r="I307" i="10"/>
  <c r="K307" i="10" s="1"/>
  <c r="G173" i="10"/>
  <c r="I173" i="10" s="1"/>
  <c r="K173" i="10" s="1"/>
  <c r="I174" i="10"/>
  <c r="K174" i="10" s="1"/>
  <c r="G355" i="10"/>
  <c r="I356" i="10"/>
  <c r="K356" i="10" s="1"/>
  <c r="G547" i="10"/>
  <c r="I548" i="10"/>
  <c r="K548" i="10" s="1"/>
  <c r="G682" i="10"/>
  <c r="I683" i="10"/>
  <c r="K683" i="10" s="1"/>
  <c r="G672" i="10"/>
  <c r="I672" i="10" s="1"/>
  <c r="K672" i="10" s="1"/>
  <c r="I673" i="10"/>
  <c r="K673" i="10" s="1"/>
  <c r="G145" i="10"/>
  <c r="I145" i="10" s="1"/>
  <c r="K145" i="10" s="1"/>
  <c r="I146" i="10"/>
  <c r="K146" i="10" s="1"/>
  <c r="G121" i="10"/>
  <c r="I121" i="10" s="1"/>
  <c r="K121" i="10" s="1"/>
  <c r="G210" i="10"/>
  <c r="I211" i="10"/>
  <c r="K211" i="10" s="1"/>
  <c r="G165" i="10"/>
  <c r="I165" i="10" s="1"/>
  <c r="K165" i="10" s="1"/>
  <c r="I166" i="10"/>
  <c r="K166" i="10" s="1"/>
  <c r="G330" i="10"/>
  <c r="I331" i="10"/>
  <c r="K331" i="10" s="1"/>
  <c r="I432" i="10"/>
  <c r="G394" i="10"/>
  <c r="I395" i="10"/>
  <c r="K395" i="10" s="1"/>
  <c r="G561" i="10"/>
  <c r="I561" i="10" s="1"/>
  <c r="K561" i="10" s="1"/>
  <c r="I562" i="10"/>
  <c r="K562" i="10" s="1"/>
  <c r="G589" i="10"/>
  <c r="I589" i="10" s="1"/>
  <c r="K589" i="10" s="1"/>
  <c r="I590" i="10"/>
  <c r="K590" i="10" s="1"/>
  <c r="G629" i="10"/>
  <c r="I630" i="10"/>
  <c r="K630" i="10" s="1"/>
  <c r="G703" i="10"/>
  <c r="I704" i="10"/>
  <c r="K704" i="10" s="1"/>
  <c r="G467" i="10"/>
  <c r="I468" i="10"/>
  <c r="K468" i="10" s="1"/>
  <c r="G153" i="10"/>
  <c r="I154" i="10"/>
  <c r="K154" i="10" s="1"/>
  <c r="G479" i="10"/>
  <c r="I479" i="10" s="1"/>
  <c r="K479" i="10" s="1"/>
  <c r="I480" i="10"/>
  <c r="K480" i="10" s="1"/>
  <c r="G420" i="10"/>
  <c r="I421" i="10"/>
  <c r="G579" i="10"/>
  <c r="I580" i="10"/>
  <c r="K580" i="10" s="1"/>
  <c r="G297" i="10"/>
  <c r="I297" i="10" s="1"/>
  <c r="K297" i="10" s="1"/>
  <c r="I298" i="10"/>
  <c r="K298" i="10" s="1"/>
  <c r="G36" i="10"/>
  <c r="I36" i="10" s="1"/>
  <c r="K36" i="10" s="1"/>
  <c r="I37" i="10"/>
  <c r="K37" i="10" s="1"/>
  <c r="G322" i="10"/>
  <c r="I323" i="10"/>
  <c r="K323" i="10" s="1"/>
  <c r="G32" i="10"/>
  <c r="I32" i="10" s="1"/>
  <c r="K32" i="10" s="1"/>
  <c r="I33" i="10"/>
  <c r="K33" i="10" s="1"/>
  <c r="G24" i="10"/>
  <c r="I24" i="10" s="1"/>
  <c r="K24" i="10" s="1"/>
  <c r="I25" i="10"/>
  <c r="K25" i="10" s="1"/>
  <c r="G46" i="10"/>
  <c r="I47" i="10"/>
  <c r="K47" i="10" s="1"/>
  <c r="G198" i="10"/>
  <c r="I198" i="10" s="1"/>
  <c r="K198" i="10" s="1"/>
  <c r="I199" i="10"/>
  <c r="K199" i="10" s="1"/>
  <c r="G118" i="10"/>
  <c r="I118" i="10" s="1"/>
  <c r="K118" i="10" s="1"/>
  <c r="I119" i="10"/>
  <c r="K119" i="10" s="1"/>
  <c r="G230" i="10"/>
  <c r="I231" i="10"/>
  <c r="K231" i="10" s="1"/>
  <c r="G338" i="10"/>
  <c r="I339" i="10"/>
  <c r="K339" i="10" s="1"/>
  <c r="G411" i="10"/>
  <c r="I411" i="10" s="1"/>
  <c r="K411" i="10" s="1"/>
  <c r="I412" i="10"/>
  <c r="K412" i="10" s="1"/>
  <c r="G570" i="10"/>
  <c r="I571" i="10"/>
  <c r="K571" i="10" s="1"/>
  <c r="G600" i="10"/>
  <c r="I601" i="10"/>
  <c r="K601" i="10" s="1"/>
  <c r="G657" i="10"/>
  <c r="I658" i="10"/>
  <c r="K658" i="10" s="1"/>
  <c r="G649" i="10"/>
  <c r="I649" i="10" s="1"/>
  <c r="K649" i="10" s="1"/>
  <c r="I650" i="10"/>
  <c r="K650" i="10" s="1"/>
  <c r="G458" i="10"/>
  <c r="G454" i="10" s="1"/>
  <c r="I454" i="10" s="1"/>
  <c r="K454" i="10" s="1"/>
  <c r="I459" i="10"/>
  <c r="K459" i="10" s="1"/>
  <c r="G475" i="10"/>
  <c r="I476" i="10"/>
  <c r="K476" i="10" s="1"/>
  <c r="G560" i="10"/>
  <c r="G443" i="10"/>
  <c r="G379" i="10"/>
  <c r="G254" i="10"/>
  <c r="G285" i="10"/>
  <c r="G275" i="10"/>
  <c r="G238" i="10"/>
  <c r="G264" i="10"/>
  <c r="G16" i="10"/>
  <c r="I16" i="10" s="1"/>
  <c r="K16" i="10" s="1"/>
  <c r="G11" i="10"/>
  <c r="I11" i="10" s="1"/>
  <c r="K11" i="10" s="1"/>
  <c r="G8" i="10"/>
  <c r="G107" i="10"/>
  <c r="G669" i="10"/>
  <c r="Q668" i="10"/>
  <c r="G667" i="10"/>
  <c r="O667" i="10"/>
  <c r="I58" i="10" l="1"/>
  <c r="K58" i="10"/>
  <c r="I107" i="10"/>
  <c r="K107" i="10"/>
  <c r="I429" i="10"/>
  <c r="K429" i="10" s="1"/>
  <c r="K432" i="10"/>
  <c r="G296" i="10"/>
  <c r="I296" i="10" s="1"/>
  <c r="K296" i="10" s="1"/>
  <c r="G172" i="10"/>
  <c r="G170" i="10" s="1"/>
  <c r="G588" i="10"/>
  <c r="G586" i="10" s="1"/>
  <c r="Q20" i="10"/>
  <c r="G144" i="10"/>
  <c r="I144" i="10" s="1"/>
  <c r="K144" i="10" s="1"/>
  <c r="G117" i="10"/>
  <c r="I117" i="10" s="1"/>
  <c r="K117" i="10" s="1"/>
  <c r="G31" i="10"/>
  <c r="G29" i="10" s="1"/>
  <c r="I29" i="10" s="1"/>
  <c r="K29" i="10" s="1"/>
  <c r="G161" i="10"/>
  <c r="G160" i="10" s="1"/>
  <c r="Q14" i="10"/>
  <c r="I8" i="10"/>
  <c r="K8" i="10" s="1"/>
  <c r="Q15" i="10"/>
  <c r="Q12" i="10"/>
  <c r="G253" i="10"/>
  <c r="I254" i="10"/>
  <c r="K254" i="10" s="1"/>
  <c r="I475" i="10"/>
  <c r="K475" i="10" s="1"/>
  <c r="G473" i="10"/>
  <c r="G599" i="10"/>
  <c r="I600" i="10"/>
  <c r="K600" i="10" s="1"/>
  <c r="G229" i="10"/>
  <c r="I230" i="10"/>
  <c r="K230" i="10" s="1"/>
  <c r="G321" i="10"/>
  <c r="I322" i="10"/>
  <c r="K322" i="10" s="1"/>
  <c r="G419" i="10"/>
  <c r="I420" i="10"/>
  <c r="G152" i="10"/>
  <c r="I153" i="10"/>
  <c r="K153" i="10" s="1"/>
  <c r="G702" i="10"/>
  <c r="I703" i="10"/>
  <c r="K703" i="10" s="1"/>
  <c r="G393" i="10"/>
  <c r="I393" i="10" s="1"/>
  <c r="K393" i="10" s="1"/>
  <c r="I394" i="10"/>
  <c r="K394" i="10" s="1"/>
  <c r="G329" i="10"/>
  <c r="I330" i="10"/>
  <c r="K330" i="10" s="1"/>
  <c r="G209" i="10"/>
  <c r="I210" i="10"/>
  <c r="K210" i="10" s="1"/>
  <c r="G681" i="10"/>
  <c r="I682" i="10"/>
  <c r="K682" i="10" s="1"/>
  <c r="G354" i="10"/>
  <c r="G352" i="10" s="1"/>
  <c r="I355" i="10"/>
  <c r="K355" i="10" s="1"/>
  <c r="G305" i="10"/>
  <c r="G302" i="10" s="1"/>
  <c r="I302" i="10" s="1"/>
  <c r="K302" i="10" s="1"/>
  <c r="I306" i="10"/>
  <c r="K306" i="10" s="1"/>
  <c r="G691" i="10"/>
  <c r="I692" i="10"/>
  <c r="G389" i="10"/>
  <c r="I390" i="10"/>
  <c r="K390" i="10" s="1"/>
  <c r="G610" i="10"/>
  <c r="I611" i="10"/>
  <c r="K611" i="10" s="1"/>
  <c r="G666" i="10"/>
  <c r="I666" i="10" s="1"/>
  <c r="K666" i="10" s="1"/>
  <c r="I667" i="10"/>
  <c r="K667" i="10" s="1"/>
  <c r="G558" i="10"/>
  <c r="I558" i="10" s="1"/>
  <c r="K558" i="10" s="1"/>
  <c r="I560" i="10"/>
  <c r="K560" i="10" s="1"/>
  <c r="G378" i="10"/>
  <c r="I379" i="10"/>
  <c r="K379" i="10" s="1"/>
  <c r="G668" i="10"/>
  <c r="I668" i="10" s="1"/>
  <c r="K668" i="10" s="1"/>
  <c r="I669" i="10"/>
  <c r="K669" i="10" s="1"/>
  <c r="G237" i="10"/>
  <c r="I238" i="10"/>
  <c r="K238" i="10" s="1"/>
  <c r="G274" i="10"/>
  <c r="I275" i="10"/>
  <c r="K275" i="10" s="1"/>
  <c r="G263" i="10"/>
  <c r="I264" i="10"/>
  <c r="K264" i="10" s="1"/>
  <c r="G284" i="10"/>
  <c r="I285" i="10"/>
  <c r="K285" i="10" s="1"/>
  <c r="G442" i="10"/>
  <c r="I443" i="10"/>
  <c r="K443" i="10" s="1"/>
  <c r="G638" i="10"/>
  <c r="I458" i="10"/>
  <c r="K458" i="10" s="1"/>
  <c r="G656" i="10"/>
  <c r="I657" i="10"/>
  <c r="K657" i="10" s="1"/>
  <c r="G569" i="10"/>
  <c r="I570" i="10"/>
  <c r="K570" i="10" s="1"/>
  <c r="G337" i="10"/>
  <c r="I338" i="10"/>
  <c r="K338" i="10" s="1"/>
  <c r="G45" i="10"/>
  <c r="I46" i="10"/>
  <c r="K46" i="10" s="1"/>
  <c r="G578" i="10"/>
  <c r="I579" i="10"/>
  <c r="K579" i="10" s="1"/>
  <c r="G462" i="10"/>
  <c r="I462" i="10" s="1"/>
  <c r="K462" i="10" s="1"/>
  <c r="I467" i="10"/>
  <c r="K467" i="10" s="1"/>
  <c r="G628" i="10"/>
  <c r="I629" i="10"/>
  <c r="K629" i="10" s="1"/>
  <c r="G428" i="10"/>
  <c r="G544" i="10"/>
  <c r="I547" i="10"/>
  <c r="K547" i="10" s="1"/>
  <c r="G221" i="10"/>
  <c r="I222" i="10"/>
  <c r="K223" i="10" s="1"/>
  <c r="G619" i="10"/>
  <c r="I620" i="10"/>
  <c r="K620" i="10" s="1"/>
  <c r="G434" i="10"/>
  <c r="I435" i="10"/>
  <c r="K435" i="10" s="1"/>
  <c r="G313" i="10"/>
  <c r="I314" i="10"/>
  <c r="K314" i="10" s="1"/>
  <c r="G10" i="10"/>
  <c r="I10" i="10" s="1"/>
  <c r="K10" i="10" s="1"/>
  <c r="S59" i="10"/>
  <c r="O59" i="10"/>
  <c r="G294" i="10" l="1"/>
  <c r="I294" i="10" s="1"/>
  <c r="K294" i="10" s="1"/>
  <c r="G142" i="10"/>
  <c r="I142" i="10" s="1"/>
  <c r="K142" i="10" s="1"/>
  <c r="I172" i="10"/>
  <c r="K172" i="10" s="1"/>
  <c r="I588" i="10"/>
  <c r="K588" i="10" s="1"/>
  <c r="G115" i="10"/>
  <c r="I115" i="10" s="1"/>
  <c r="K115" i="10" s="1"/>
  <c r="G348" i="10"/>
  <c r="I348" i="10" s="1"/>
  <c r="K348" i="10" s="1"/>
  <c r="I352" i="10"/>
  <c r="K352" i="10" s="1"/>
  <c r="I434" i="10"/>
  <c r="K434" i="10" s="1"/>
  <c r="G426" i="10"/>
  <c r="I426" i="10" s="1"/>
  <c r="K426" i="10" s="1"/>
  <c r="G665" i="10"/>
  <c r="G664" i="10" s="1"/>
  <c r="I31" i="10"/>
  <c r="K31" i="10" s="1"/>
  <c r="I161" i="10"/>
  <c r="K161" i="10" s="1"/>
  <c r="G218" i="10"/>
  <c r="I221" i="10"/>
  <c r="G440" i="10"/>
  <c r="I440" i="10" s="1"/>
  <c r="K440" i="10" s="1"/>
  <c r="I442" i="10"/>
  <c r="K442" i="10" s="1"/>
  <c r="G261" i="10"/>
  <c r="I261" i="10" s="1"/>
  <c r="K261" i="10" s="1"/>
  <c r="I263" i="10"/>
  <c r="K263" i="10" s="1"/>
  <c r="G272" i="10"/>
  <c r="I272" i="10" s="1"/>
  <c r="K272" i="10" s="1"/>
  <c r="I274" i="10"/>
  <c r="K274" i="10" s="1"/>
  <c r="G375" i="10"/>
  <c r="I375" i="10" s="1"/>
  <c r="K375" i="10" s="1"/>
  <c r="I378" i="10"/>
  <c r="K378" i="10" s="1"/>
  <c r="G158" i="10"/>
  <c r="I158" i="10" s="1"/>
  <c r="K158" i="10" s="1"/>
  <c r="I160" i="10"/>
  <c r="K160" i="10" s="1"/>
  <c r="G608" i="10"/>
  <c r="I610" i="10"/>
  <c r="K610" i="10" s="1"/>
  <c r="G689" i="10"/>
  <c r="I691" i="10"/>
  <c r="I354" i="10"/>
  <c r="K354" i="10" s="1"/>
  <c r="G207" i="10"/>
  <c r="I209" i="10"/>
  <c r="K209" i="10" s="1"/>
  <c r="G150" i="10"/>
  <c r="I150" i="10" s="1"/>
  <c r="K150" i="10" s="1"/>
  <c r="I152" i="10"/>
  <c r="K152" i="10" s="1"/>
  <c r="G319" i="10"/>
  <c r="I319" i="10" s="1"/>
  <c r="K319" i="10" s="1"/>
  <c r="I321" i="10"/>
  <c r="K321" i="10" s="1"/>
  <c r="I599" i="10"/>
  <c r="K599" i="10" s="1"/>
  <c r="G597" i="10"/>
  <c r="G168" i="10"/>
  <c r="I170" i="10"/>
  <c r="G44" i="10"/>
  <c r="I45" i="10"/>
  <c r="K45" i="10" s="1"/>
  <c r="G567" i="10"/>
  <c r="I567" i="10" s="1"/>
  <c r="I569" i="10"/>
  <c r="K569" i="10" s="1"/>
  <c r="G617" i="10"/>
  <c r="I619" i="10"/>
  <c r="K619" i="10" s="1"/>
  <c r="G626" i="10"/>
  <c r="I628" i="10"/>
  <c r="K628" i="10" s="1"/>
  <c r="G576" i="10"/>
  <c r="I578" i="10"/>
  <c r="K578" i="10" s="1"/>
  <c r="G335" i="10"/>
  <c r="I335" i="10" s="1"/>
  <c r="K335" i="10" s="1"/>
  <c r="I337" i="10"/>
  <c r="K337" i="10" s="1"/>
  <c r="G654" i="10"/>
  <c r="I654" i="10" s="1"/>
  <c r="K654" i="10" s="1"/>
  <c r="I656" i="10"/>
  <c r="K656" i="10" s="1"/>
  <c r="I473" i="10"/>
  <c r="G471" i="10"/>
  <c r="I428" i="10"/>
  <c r="K428" i="10" s="1"/>
  <c r="G311" i="10"/>
  <c r="I311" i="10" s="1"/>
  <c r="K311" i="10" s="1"/>
  <c r="I313" i="10"/>
  <c r="K313" i="10" s="1"/>
  <c r="G542" i="10"/>
  <c r="I544" i="10"/>
  <c r="K544" i="10" s="1"/>
  <c r="G636" i="10"/>
  <c r="I636" i="10" s="1"/>
  <c r="K636" i="10" s="1"/>
  <c r="I638" i="10"/>
  <c r="K638" i="10" s="1"/>
  <c r="G282" i="10"/>
  <c r="I282" i="10" s="1"/>
  <c r="K282" i="10" s="1"/>
  <c r="I284" i="10"/>
  <c r="K284" i="10" s="1"/>
  <c r="G235" i="10"/>
  <c r="I235" i="10" s="1"/>
  <c r="K235" i="10" s="1"/>
  <c r="I237" i="10"/>
  <c r="K237" i="10" s="1"/>
  <c r="G584" i="10"/>
  <c r="I586" i="10"/>
  <c r="I389" i="10"/>
  <c r="K389" i="10" s="1"/>
  <c r="G387" i="10"/>
  <c r="I387" i="10" s="1"/>
  <c r="K387" i="10" s="1"/>
  <c r="I305" i="10"/>
  <c r="K305" i="10" s="1"/>
  <c r="G679" i="10"/>
  <c r="I681" i="10"/>
  <c r="K681" i="10" s="1"/>
  <c r="G327" i="10"/>
  <c r="I327" i="10" s="1"/>
  <c r="K327" i="10" s="1"/>
  <c r="I329" i="10"/>
  <c r="K329" i="10" s="1"/>
  <c r="G700" i="10"/>
  <c r="I702" i="10"/>
  <c r="K702" i="10" s="1"/>
  <c r="G417" i="10"/>
  <c r="I419" i="10"/>
  <c r="G227" i="10"/>
  <c r="I227" i="10" s="1"/>
  <c r="K227" i="10" s="1"/>
  <c r="I229" i="10"/>
  <c r="K229" i="10" s="1"/>
  <c r="G251" i="10"/>
  <c r="I251" i="10" s="1"/>
  <c r="K251" i="10" s="1"/>
  <c r="I253" i="10"/>
  <c r="K253" i="10" s="1"/>
  <c r="O61" i="10"/>
  <c r="G61" i="10"/>
  <c r="K61" i="10" s="1"/>
  <c r="G67" i="10"/>
  <c r="K67" i="10" s="1"/>
  <c r="G81" i="10"/>
  <c r="G84" i="10"/>
  <c r="G94" i="10"/>
  <c r="G99" i="10"/>
  <c r="G110" i="10"/>
  <c r="K110" i="10" s="1"/>
  <c r="G100" i="10"/>
  <c r="G104" i="10"/>
  <c r="G189" i="10"/>
  <c r="G184" i="10"/>
  <c r="G203" i="10"/>
  <c r="G369" i="10"/>
  <c r="G372" i="10"/>
  <c r="G407" i="10"/>
  <c r="G497" i="10"/>
  <c r="I497" i="10" s="1"/>
  <c r="K497" i="10" s="1"/>
  <c r="G499" i="10"/>
  <c r="I499" i="10" s="1"/>
  <c r="K499" i="10" s="1"/>
  <c r="G501" i="10"/>
  <c r="I501" i="10" s="1"/>
  <c r="K501" i="10" s="1"/>
  <c r="G504" i="10"/>
  <c r="I504" i="10" s="1"/>
  <c r="K504" i="10" s="1"/>
  <c r="G509" i="10"/>
  <c r="I509" i="10" s="1"/>
  <c r="K509" i="10" s="1"/>
  <c r="G516" i="10"/>
  <c r="I516" i="10" s="1"/>
  <c r="K516" i="10" s="1"/>
  <c r="G524" i="10"/>
  <c r="I524" i="10" s="1"/>
  <c r="K524" i="10" s="1"/>
  <c r="G531" i="10"/>
  <c r="I531" i="10" s="1"/>
  <c r="K531" i="10" s="1"/>
  <c r="G537" i="10"/>
  <c r="O651" i="10"/>
  <c r="O684" i="10"/>
  <c r="O24" i="13"/>
  <c r="N24" i="13"/>
  <c r="I2" i="13"/>
  <c r="I57" i="13"/>
  <c r="I56" i="13" s="1"/>
  <c r="J58" i="13"/>
  <c r="J57" i="13" s="1"/>
  <c r="J56" i="13" s="1"/>
  <c r="K56" i="13"/>
  <c r="K60" i="13" s="1"/>
  <c r="J53" i="13"/>
  <c r="J52" i="13"/>
  <c r="J51" i="13"/>
  <c r="J50" i="13"/>
  <c r="J49" i="13"/>
  <c r="J44" i="13"/>
  <c r="J42" i="13"/>
  <c r="J41" i="13"/>
  <c r="J40" i="13"/>
  <c r="J39" i="13"/>
  <c r="J38" i="13"/>
  <c r="J37" i="13"/>
  <c r="J36" i="13"/>
  <c r="J35" i="13"/>
  <c r="J34" i="13"/>
  <c r="J31" i="13"/>
  <c r="J29" i="13"/>
  <c r="J27" i="13"/>
  <c r="J26" i="13"/>
  <c r="J25" i="13"/>
  <c r="J24" i="13"/>
  <c r="J23" i="13"/>
  <c r="J22" i="13"/>
  <c r="J21" i="13"/>
  <c r="J19" i="13"/>
  <c r="J18" i="13"/>
  <c r="J17" i="13"/>
  <c r="J16" i="13"/>
  <c r="J14" i="13"/>
  <c r="J8" i="13"/>
  <c r="J7" i="13"/>
  <c r="J6" i="13"/>
  <c r="J5" i="13"/>
  <c r="I99" i="10" l="1"/>
  <c r="K99" i="10"/>
  <c r="I100" i="10"/>
  <c r="K100" i="10"/>
  <c r="I84" i="10"/>
  <c r="K84" i="10"/>
  <c r="I81" i="10"/>
  <c r="K81" i="10"/>
  <c r="I104" i="10"/>
  <c r="K104" i="10"/>
  <c r="I94" i="10"/>
  <c r="K94" i="10"/>
  <c r="I584" i="10"/>
  <c r="K586" i="10"/>
  <c r="K584" i="10" s="1"/>
  <c r="K415" i="10"/>
  <c r="K567" i="10"/>
  <c r="I565" i="10"/>
  <c r="K565" i="10" s="1"/>
  <c r="I471" i="10"/>
  <c r="K473" i="10"/>
  <c r="K471" i="10" s="1"/>
  <c r="K291" i="10"/>
  <c r="I218" i="10"/>
  <c r="K218" i="10" s="1"/>
  <c r="K222" i="10"/>
  <c r="I168" i="10"/>
  <c r="K168" i="10" s="1"/>
  <c r="K170" i="10"/>
  <c r="G415" i="10"/>
  <c r="I291" i="10"/>
  <c r="I665" i="10"/>
  <c r="K665" i="10" s="1"/>
  <c r="G291" i="10"/>
  <c r="G368" i="10"/>
  <c r="I369" i="10"/>
  <c r="K369" i="10" s="1"/>
  <c r="G60" i="10"/>
  <c r="K60" i="10" s="1"/>
  <c r="I61" i="10"/>
  <c r="G536" i="10"/>
  <c r="I536" i="10" s="1"/>
  <c r="K536" i="10" s="1"/>
  <c r="I537" i="10"/>
  <c r="K537" i="10" s="1"/>
  <c r="G202" i="10"/>
  <c r="I203" i="10"/>
  <c r="K203" i="10" s="1"/>
  <c r="G698" i="10"/>
  <c r="G697" i="10" s="1"/>
  <c r="I700" i="10"/>
  <c r="G677" i="10"/>
  <c r="I679" i="10"/>
  <c r="G624" i="10"/>
  <c r="I626" i="10"/>
  <c r="G205" i="10"/>
  <c r="I207" i="10"/>
  <c r="G687" i="10"/>
  <c r="I689" i="10"/>
  <c r="G405" i="10"/>
  <c r="I407" i="10"/>
  <c r="K407" i="10" s="1"/>
  <c r="G183" i="10"/>
  <c r="I184" i="10"/>
  <c r="K184" i="10" s="1"/>
  <c r="G106" i="10"/>
  <c r="I110" i="10"/>
  <c r="G595" i="10"/>
  <c r="G583" i="10" s="1"/>
  <c r="I597" i="10"/>
  <c r="G371" i="10"/>
  <c r="I372" i="10"/>
  <c r="K372" i="10" s="1"/>
  <c r="G188" i="10"/>
  <c r="I189" i="10"/>
  <c r="K189" i="10" s="1"/>
  <c r="G65" i="10"/>
  <c r="I67" i="10"/>
  <c r="I417" i="10"/>
  <c r="I415" i="10" s="1"/>
  <c r="I542" i="10"/>
  <c r="I540" i="10" s="1"/>
  <c r="G540" i="10"/>
  <c r="G662" i="10"/>
  <c r="I664" i="10"/>
  <c r="K664" i="10" s="1"/>
  <c r="G574" i="10"/>
  <c r="I576" i="10"/>
  <c r="G615" i="10"/>
  <c r="I617" i="10"/>
  <c r="G42" i="10"/>
  <c r="G6" i="10" s="1"/>
  <c r="I44" i="10"/>
  <c r="K44" i="10" s="1"/>
  <c r="G606" i="10"/>
  <c r="I608" i="10"/>
  <c r="G216" i="10"/>
  <c r="G530" i="10"/>
  <c r="I530" i="10" s="1"/>
  <c r="K530" i="10" s="1"/>
  <c r="Q11" i="10"/>
  <c r="G535" i="10"/>
  <c r="I535" i="10" s="1"/>
  <c r="K535" i="10" s="1"/>
  <c r="R6" i="13"/>
  <c r="G80" i="10"/>
  <c r="K80" i="10" s="1"/>
  <c r="J33" i="13"/>
  <c r="J47" i="13"/>
  <c r="J45" i="13" s="1"/>
  <c r="J43" i="13"/>
  <c r="I60" i="13"/>
  <c r="J11" i="13"/>
  <c r="J9" i="13" s="1"/>
  <c r="G503" i="10"/>
  <c r="I503" i="10" s="1"/>
  <c r="K503" i="10" s="1"/>
  <c r="G496" i="10"/>
  <c r="J4" i="13"/>
  <c r="J3" i="13" s="1"/>
  <c r="K216" i="10" l="1"/>
  <c r="I65" i="10"/>
  <c r="K65" i="10"/>
  <c r="I106" i="10"/>
  <c r="K106" i="10"/>
  <c r="I574" i="10"/>
  <c r="K576" i="10"/>
  <c r="K574" i="10" s="1"/>
  <c r="I595" i="10"/>
  <c r="I583" i="10" s="1"/>
  <c r="K597" i="10"/>
  <c r="K595" i="10" s="1"/>
  <c r="K583" i="10" s="1"/>
  <c r="I687" i="10"/>
  <c r="K689" i="10"/>
  <c r="K687" i="10" s="1"/>
  <c r="I624" i="10"/>
  <c r="K626" i="10"/>
  <c r="K624" i="10" s="1"/>
  <c r="I698" i="10"/>
  <c r="I697" i="10" s="1"/>
  <c r="K700" i="10"/>
  <c r="K698" i="10" s="1"/>
  <c r="K697" i="10" s="1"/>
  <c r="I216" i="10"/>
  <c r="I677" i="10"/>
  <c r="K679" i="10"/>
  <c r="K677" i="10" s="1"/>
  <c r="I606" i="10"/>
  <c r="K608" i="10"/>
  <c r="K606" i="10" s="1"/>
  <c r="I615" i="10"/>
  <c r="K617" i="10"/>
  <c r="K615" i="10" s="1"/>
  <c r="K542" i="10"/>
  <c r="K540" i="10" s="1"/>
  <c r="I205" i="10"/>
  <c r="K205" i="10" s="1"/>
  <c r="K207" i="10"/>
  <c r="Q19" i="10"/>
  <c r="Q21" i="10" s="1"/>
  <c r="G605" i="10"/>
  <c r="G370" i="10"/>
  <c r="I370" i="10" s="1"/>
  <c r="K370" i="10" s="1"/>
  <c r="I371" i="10"/>
  <c r="K371" i="10" s="1"/>
  <c r="G404" i="10"/>
  <c r="I405" i="10"/>
  <c r="K405" i="10" s="1"/>
  <c r="G201" i="10"/>
  <c r="I202" i="10"/>
  <c r="K202" i="10" s="1"/>
  <c r="G57" i="10"/>
  <c r="I60" i="10"/>
  <c r="I42" i="10"/>
  <c r="G5" i="10"/>
  <c r="G4" i="10" s="1"/>
  <c r="G64" i="10"/>
  <c r="K64" i="10" s="1"/>
  <c r="I80" i="10"/>
  <c r="G634" i="10"/>
  <c r="G633" i="10" s="1"/>
  <c r="I662" i="10"/>
  <c r="I496" i="10"/>
  <c r="K496" i="10" s="1"/>
  <c r="G187" i="10"/>
  <c r="I187" i="10" s="1"/>
  <c r="K187" i="10" s="1"/>
  <c r="I188" i="10"/>
  <c r="K188" i="10" s="1"/>
  <c r="G182" i="10"/>
  <c r="I183" i="10"/>
  <c r="K183" i="10" s="1"/>
  <c r="G364" i="10"/>
  <c r="I368" i="10"/>
  <c r="K368" i="10" s="1"/>
  <c r="J30" i="13"/>
  <c r="J2" i="13" s="1"/>
  <c r="J60" i="13" s="1"/>
  <c r="G492" i="10"/>
  <c r="G495" i="10"/>
  <c r="I495" i="10" s="1"/>
  <c r="K495" i="10" s="1"/>
  <c r="I57" i="10" l="1"/>
  <c r="K57" i="10"/>
  <c r="I605" i="10"/>
  <c r="I634" i="10"/>
  <c r="I633" i="10" s="1"/>
  <c r="K662" i="10"/>
  <c r="K634" i="10" s="1"/>
  <c r="K633" i="10" s="1"/>
  <c r="K605" i="10"/>
  <c r="I6" i="10"/>
  <c r="I5" i="10" s="1"/>
  <c r="I4" i="10" s="1"/>
  <c r="K42" i="10"/>
  <c r="Q10" i="10"/>
  <c r="Q9" i="10"/>
  <c r="I404" i="10"/>
  <c r="K404" i="10" s="1"/>
  <c r="G403" i="10"/>
  <c r="G490" i="10"/>
  <c r="G489" i="10" s="1"/>
  <c r="I492" i="10"/>
  <c r="I182" i="10"/>
  <c r="K182" i="10" s="1"/>
  <c r="G181" i="10"/>
  <c r="G56" i="10"/>
  <c r="K56" i="10" s="1"/>
  <c r="I64" i="10"/>
  <c r="I364" i="10"/>
  <c r="K364" i="10" s="1"/>
  <c r="G363" i="10"/>
  <c r="I201" i="10"/>
  <c r="K201" i="10" s="1"/>
  <c r="Q13" i="10"/>
  <c r="G197" i="10"/>
  <c r="K6" i="10" l="1"/>
  <c r="I490" i="10"/>
  <c r="I489" i="10" s="1"/>
  <c r="K492" i="10"/>
  <c r="Q16" i="10"/>
  <c r="G53" i="10"/>
  <c r="G51" i="10" s="1"/>
  <c r="I56" i="10"/>
  <c r="G194" i="10"/>
  <c r="I197" i="10"/>
  <c r="K197" i="10" s="1"/>
  <c r="G361" i="10"/>
  <c r="I363" i="10"/>
  <c r="K363" i="10" s="1"/>
  <c r="G179" i="10"/>
  <c r="I181" i="10"/>
  <c r="K181" i="10" s="1"/>
  <c r="G401" i="10"/>
  <c r="I403" i="10"/>
  <c r="K403" i="10" s="1"/>
  <c r="K5" i="10" l="1"/>
  <c r="K490" i="10"/>
  <c r="K489" i="10" s="1"/>
  <c r="N492" i="10"/>
  <c r="N3" i="10" s="1"/>
  <c r="I53" i="10"/>
  <c r="G192" i="10"/>
  <c r="G191" i="10" s="1"/>
  <c r="I195" i="10"/>
  <c r="G177" i="10"/>
  <c r="I179" i="10"/>
  <c r="G399" i="10"/>
  <c r="I401" i="10"/>
  <c r="G359" i="10"/>
  <c r="I361" i="10"/>
  <c r="K4" i="10" l="1"/>
  <c r="I359" i="10"/>
  <c r="K361" i="10"/>
  <c r="K359" i="10" s="1"/>
  <c r="I399" i="10"/>
  <c r="K401" i="10"/>
  <c r="K399" i="10" s="1"/>
  <c r="I192" i="10"/>
  <c r="I191" i="10" s="1"/>
  <c r="K195" i="10"/>
  <c r="I177" i="10"/>
  <c r="K177" i="10" s="1"/>
  <c r="K179" i="10"/>
  <c r="K54" i="10"/>
  <c r="I51" i="10"/>
  <c r="G214" i="10"/>
  <c r="G50" i="10"/>
  <c r="F30" i="11"/>
  <c r="G28" i="11"/>
  <c r="F25" i="11"/>
  <c r="H17" i="11"/>
  <c r="H11" i="11"/>
  <c r="H9" i="11"/>
  <c r="G9" i="11"/>
  <c r="F9" i="11"/>
  <c r="G47" i="1"/>
  <c r="H44" i="1" s="1"/>
  <c r="H47" i="1" s="1"/>
  <c r="I44" i="1" s="1"/>
  <c r="I47" i="1" s="1"/>
  <c r="I31" i="1"/>
  <c r="H31" i="1"/>
  <c r="G31" i="1"/>
  <c r="K51" i="10" l="1"/>
  <c r="K192" i="10"/>
  <c r="I50" i="10"/>
  <c r="I214" i="10"/>
  <c r="K214" i="10"/>
  <c r="K50" i="10"/>
  <c r="H21" i="11"/>
  <c r="H25" i="11"/>
  <c r="H30" i="11"/>
  <c r="G49" i="10"/>
  <c r="G3" i="10" s="1"/>
  <c r="G8" i="11"/>
  <c r="F28" i="11"/>
  <c r="K191" i="10" l="1"/>
  <c r="I49" i="10"/>
  <c r="I3" i="10" s="1"/>
  <c r="K64" i="13" s="1"/>
  <c r="K66" i="13" s="1"/>
  <c r="K70" i="13" s="1"/>
  <c r="K49" i="10"/>
  <c r="F8" i="11"/>
  <c r="H28" i="11"/>
  <c r="H8" i="11" s="1"/>
  <c r="E39" i="3"/>
  <c r="G39" i="3" s="1"/>
  <c r="E277" i="7"/>
  <c r="G277" i="7"/>
  <c r="G276" i="7" s="1"/>
  <c r="E238" i="7"/>
  <c r="E192" i="7"/>
  <c r="E156" i="7"/>
  <c r="E159" i="7" s="1"/>
  <c r="G159" i="7" s="1"/>
  <c r="I159" i="7" s="1"/>
  <c r="G163" i="7"/>
  <c r="I163" i="7" s="1"/>
  <c r="E163" i="7"/>
  <c r="E166" i="7" s="1"/>
  <c r="I166" i="7" s="1"/>
  <c r="K3" i="10" l="1"/>
  <c r="M3" i="10" s="1"/>
  <c r="O65" i="19" s="1"/>
  <c r="O71" i="19" s="1"/>
  <c r="M65" i="19"/>
  <c r="E240" i="7"/>
  <c r="G240" i="7" s="1"/>
  <c r="G238" i="7"/>
  <c r="E197" i="7"/>
  <c r="I192" i="7"/>
  <c r="I149" i="7" s="1"/>
  <c r="E38" i="3"/>
  <c r="G38" i="3" s="1"/>
  <c r="E276" i="7"/>
  <c r="E279" i="7"/>
  <c r="G279" i="7" s="1"/>
  <c r="I279" i="7" s="1"/>
  <c r="V66" i="19" l="1"/>
  <c r="U69" i="19" s="1"/>
  <c r="M67" i="19"/>
  <c r="M71" i="19"/>
  <c r="E401" i="7"/>
  <c r="G401" i="7"/>
  <c r="E393" i="7"/>
  <c r="G393" i="7"/>
  <c r="I393" i="7" s="1"/>
  <c r="I392" i="7" s="1"/>
  <c r="E387" i="7"/>
  <c r="E386" i="7" s="1"/>
  <c r="G387" i="7"/>
  <c r="I387" i="7" s="1"/>
  <c r="G389" i="7" l="1"/>
  <c r="G386" i="7"/>
  <c r="I386" i="7" s="1"/>
  <c r="G392" i="7"/>
  <c r="G395" i="7"/>
  <c r="I395" i="7" s="1"/>
  <c r="E392" i="7"/>
  <c r="E395" i="7"/>
  <c r="E389" i="7"/>
  <c r="G400" i="7"/>
  <c r="G399" i="7" s="1"/>
  <c r="G403" i="7"/>
  <c r="E400" i="7"/>
  <c r="E399" i="7" s="1"/>
  <c r="E403" i="7"/>
  <c r="E380" i="7" l="1"/>
  <c r="E382" i="7" s="1"/>
  <c r="G380" i="7"/>
  <c r="G382" i="7" s="1"/>
  <c r="E375" i="7"/>
  <c r="E377" i="7" s="1"/>
  <c r="G375" i="7"/>
  <c r="E369" i="7"/>
  <c r="G369" i="7"/>
  <c r="I369" i="7" s="1"/>
  <c r="E362" i="7"/>
  <c r="G362" i="7"/>
  <c r="E356" i="7"/>
  <c r="G356" i="7"/>
  <c r="E349" i="7"/>
  <c r="G349" i="7"/>
  <c r="E342" i="7"/>
  <c r="G342" i="7"/>
  <c r="G377" i="7" l="1"/>
  <c r="I375" i="7"/>
  <c r="E348" i="7"/>
  <c r="E352" i="7"/>
  <c r="G361" i="7"/>
  <c r="G364" i="7"/>
  <c r="E341" i="7"/>
  <c r="E344" i="7"/>
  <c r="E368" i="7"/>
  <c r="E367" i="7" s="1"/>
  <c r="E371" i="7"/>
  <c r="G348" i="7"/>
  <c r="G352" i="7"/>
  <c r="E361" i="7"/>
  <c r="E364" i="7"/>
  <c r="G355" i="7"/>
  <c r="G358" i="7"/>
  <c r="I358" i="7" s="1"/>
  <c r="G341" i="7"/>
  <c r="G344" i="7"/>
  <c r="E355" i="7"/>
  <c r="E358" i="7"/>
  <c r="G371" i="7"/>
  <c r="I371" i="7" s="1"/>
  <c r="G368" i="7"/>
  <c r="G367" i="7" s="1"/>
  <c r="E334" i="7"/>
  <c r="E336" i="7" s="1"/>
  <c r="G336" i="7" s="1"/>
  <c r="I336" i="7" s="1"/>
  <c r="G334" i="7"/>
  <c r="E326" i="7"/>
  <c r="G326" i="7"/>
  <c r="E319" i="7"/>
  <c r="G319" i="7"/>
  <c r="E302" i="7"/>
  <c r="E243" i="7"/>
  <c r="G243" i="7"/>
  <c r="G237" i="7" s="1"/>
  <c r="E230" i="7"/>
  <c r="G230" i="7"/>
  <c r="E221" i="7"/>
  <c r="E223" i="7" s="1"/>
  <c r="G223" i="7" s="1"/>
  <c r="I223" i="7" s="1"/>
  <c r="E210" i="7"/>
  <c r="E212" i="7" s="1"/>
  <c r="G210" i="7"/>
  <c r="E202" i="7"/>
  <c r="G202" i="7"/>
  <c r="E150" i="7"/>
  <c r="G150" i="7"/>
  <c r="G149" i="7" s="1"/>
  <c r="E142" i="7"/>
  <c r="E144" i="7" s="1"/>
  <c r="I144" i="7" s="1"/>
  <c r="G142" i="7"/>
  <c r="E136" i="7"/>
  <c r="E139" i="7" s="1"/>
  <c r="G139" i="7" s="1"/>
  <c r="I139" i="7" s="1"/>
  <c r="G136" i="7"/>
  <c r="E104" i="7"/>
  <c r="E111" i="7" s="1"/>
  <c r="G104" i="7"/>
  <c r="E94" i="7"/>
  <c r="E86" i="7"/>
  <c r="G86" i="7"/>
  <c r="G85" i="7" s="1"/>
  <c r="E78" i="7"/>
  <c r="E73" i="7"/>
  <c r="G73" i="7"/>
  <c r="G43" i="7"/>
  <c r="G34" i="7" s="1"/>
  <c r="E43" i="7"/>
  <c r="E23" i="7"/>
  <c r="E21" i="7" s="1"/>
  <c r="G23" i="7"/>
  <c r="E14" i="7"/>
  <c r="G14" i="7"/>
  <c r="I104" i="7" l="1"/>
  <c r="I103" i="7" s="1"/>
  <c r="I101" i="7" s="1"/>
  <c r="G103" i="7"/>
  <c r="G212" i="7"/>
  <c r="I212" i="7" s="1"/>
  <c r="I368" i="7"/>
  <c r="I367" i="7" s="1"/>
  <c r="E347" i="7"/>
  <c r="G21" i="7"/>
  <c r="I23" i="7"/>
  <c r="G229" i="7"/>
  <c r="E229" i="7"/>
  <c r="E233" i="7"/>
  <c r="G200" i="7"/>
  <c r="E237" i="7"/>
  <c r="E247" i="7"/>
  <c r="E200" i="7"/>
  <c r="E206" i="7"/>
  <c r="E149" i="7"/>
  <c r="E152" i="7"/>
  <c r="G152" i="7" s="1"/>
  <c r="I152" i="7" s="1"/>
  <c r="E85" i="7"/>
  <c r="E72" i="7"/>
  <c r="E75" i="7"/>
  <c r="G72" i="7"/>
  <c r="G33" i="7" s="1"/>
  <c r="G75" i="7"/>
  <c r="I75" i="7" s="1"/>
  <c r="E13" i="7"/>
  <c r="G347" i="7"/>
  <c r="G318" i="7"/>
  <c r="G322" i="7"/>
  <c r="I322" i="7" s="1"/>
  <c r="G301" i="7"/>
  <c r="E325" i="7"/>
  <c r="E328" i="7"/>
  <c r="E318" i="7"/>
  <c r="E322" i="7"/>
  <c r="E45" i="7"/>
  <c r="E34" i="7"/>
  <c r="G45" i="7"/>
  <c r="I45" i="7" s="1"/>
  <c r="E301" i="7"/>
  <c r="E306" i="7"/>
  <c r="G325" i="7"/>
  <c r="G328" i="7"/>
  <c r="I328" i="7" s="1"/>
  <c r="E209" i="7"/>
  <c r="E103" i="7"/>
  <c r="E333" i="7"/>
  <c r="E331" i="7" s="1"/>
  <c r="G333" i="7"/>
  <c r="G331" i="7" s="1"/>
  <c r="E288" i="7"/>
  <c r="E292" i="7" s="1"/>
  <c r="G292" i="7" s="1"/>
  <c r="G221" i="7"/>
  <c r="G209" i="7" s="1"/>
  <c r="E16" i="7"/>
  <c r="G16" i="7"/>
  <c r="I16" i="7" s="1"/>
  <c r="G286" i="7" l="1"/>
  <c r="G101" i="7"/>
  <c r="G13" i="7"/>
  <c r="G12" i="7" s="1"/>
  <c r="G11" i="7" s="1"/>
  <c r="I21" i="7"/>
  <c r="I13" i="7" s="1"/>
  <c r="I12" i="7" s="1"/>
  <c r="I11" i="7" s="1"/>
  <c r="I32" i="7"/>
  <c r="E33" i="7"/>
  <c r="E12" i="7"/>
  <c r="E11" i="7" s="1"/>
  <c r="E287" i="7"/>
  <c r="E286" i="7" s="1"/>
  <c r="E101" i="7"/>
  <c r="I10" i="7" l="1"/>
  <c r="G32" i="7"/>
  <c r="G10" i="7" s="1"/>
  <c r="E32" i="7"/>
  <c r="E10" i="7" s="1"/>
  <c r="E16" i="3" l="1"/>
  <c r="E28" i="3"/>
  <c r="F28" i="3"/>
  <c r="F15" i="3" s="1"/>
  <c r="G28" i="3" l="1"/>
  <c r="G15" i="3" s="1"/>
  <c r="E15" i="3"/>
  <c r="G21" i="1"/>
  <c r="G24" i="1" s="1"/>
  <c r="I21" i="1"/>
  <c r="H18" i="1"/>
  <c r="I18" i="1"/>
  <c r="G32" i="1" l="1"/>
  <c r="G39" i="1"/>
  <c r="I24" i="1"/>
  <c r="I39" i="1" s="1"/>
  <c r="H21" i="1"/>
  <c r="H24" i="1" s="1"/>
  <c r="H39" i="1" s="1"/>
  <c r="I32" i="1" l="1"/>
  <c r="H32" i="1"/>
</calcChain>
</file>

<file path=xl/sharedStrings.xml><?xml version="1.0" encoding="utf-8"?>
<sst xmlns="http://schemas.openxmlformats.org/spreadsheetml/2006/main" count="1563" uniqueCount="877">
  <si>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</si>
  <si>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</si>
  <si>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</si>
  <si>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</si>
  <si>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</si>
  <si>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</si>
  <si>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</si>
  <si>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</si>
  <si>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</si>
  <si>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</si>
  <si>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</si>
  <si>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</si>
  <si>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</si>
  <si>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</si>
  <si>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</si>
  <si>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</si>
  <si>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Prihodi od poreza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</si>
  <si>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</si>
  <si>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</si>
  <si>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</si>
  <si>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</si>
  <si>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</si>
  <si>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</si>
  <si>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</si>
  <si>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</si>
  <si>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</si>
  <si>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</si>
  <si>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</si>
  <si>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</si>
  <si>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</si>
  <si>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</si>
  <si>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</si>
  <si>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</si>
  <si>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</si>
  <si>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</si>
  <si>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</si>
  <si>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</si>
  <si>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</si>
  <si>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</si>
  <si>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</si>
  <si>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</si>
  <si>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A) SAŽETAK RAČUNA PRIHODA I RASHODA</t>
  </si>
  <si>
    <t>Rashodi za nabavu proizvedene dugotrajne imovine</t>
  </si>
  <si>
    <t>Prihodi od imovine</t>
  </si>
  <si>
    <t>Naziv</t>
  </si>
  <si>
    <t xml:space="preserve">Pomoći iz inozemstva i od subjekata unutar općeg proračuna </t>
  </si>
  <si>
    <t>Prihodi od prodaje proizvedene dugotrajne imovine</t>
  </si>
  <si>
    <t xml:space="preserve">Prihodi od upravnih i administrativnih pristojbi, pristojbi po posebnim propisima i naknada </t>
  </si>
  <si>
    <t xml:space="preserve">Prihodi od prodaje proizvoda i robe te pruženih usluga, donacija te povrati po protestiranim jamstvima </t>
  </si>
  <si>
    <t>Subvencije</t>
  </si>
  <si>
    <t>Pomoći dane u inozemstvo i unutar općeg proračuna</t>
  </si>
  <si>
    <t xml:space="preserve">Naknade građanima i kućanstvima na temelju osiguranja i druge naknade </t>
  </si>
  <si>
    <t>Ostali rashodi</t>
  </si>
  <si>
    <t xml:space="preserve">Rashodi za dodatna ulaganja na nefinancijskoj imovini </t>
  </si>
  <si>
    <t>03 Javni red i sigurnost</t>
  </si>
  <si>
    <t>05 Zaštita okoliša</t>
  </si>
  <si>
    <t>06 Usluge unaprjeđenja stanovanja i zajednice</t>
  </si>
  <si>
    <t>02 Obrana</t>
  </si>
  <si>
    <t>07 Zdravstvo</t>
  </si>
  <si>
    <t>08 Rekreacija, kultura i religija</t>
  </si>
  <si>
    <t>09 Obrazovanje</t>
  </si>
  <si>
    <t>0911 Predškolsko obrazovanje</t>
  </si>
  <si>
    <t>0912 Osnovnoškolsko obrazovanje</t>
  </si>
  <si>
    <t>092 Srednjoškolsko obrazovanje</t>
  </si>
  <si>
    <t>094 Visoka naobrazba</t>
  </si>
  <si>
    <t>10 Socijalna zaštita</t>
  </si>
  <si>
    <t>RAZDJEL 001 PREDSTAVNIČKA I IZVRŠNA TIJELA</t>
  </si>
  <si>
    <t xml:space="preserve">GLAVA 00101:Predstavnička i izvršna tijela </t>
  </si>
  <si>
    <t>Program 01: Predstavnička i izvršna vlast</t>
  </si>
  <si>
    <t>Izvor financiranja: 01 - Opći prihodi i primici</t>
  </si>
  <si>
    <t xml:space="preserve">Izvor financiranja: 01 -  Opći prihodi i primici </t>
  </si>
  <si>
    <t>Izvor financiranja: 05 - Pomoći</t>
  </si>
  <si>
    <t>RAZDJEL 002 JEDINSTVENI UPRAVNI ODJEL</t>
  </si>
  <si>
    <t>GLAVA 00201: Jedinstveni upravni odjel</t>
  </si>
  <si>
    <t>Aktivnost A002010103: Izrada dokumentacije</t>
  </si>
  <si>
    <t>Aktivnost A002010104: Nabava opreme i namještaja</t>
  </si>
  <si>
    <t xml:space="preserve">Program 02: Zapošljavanje osoba na javnim radovima </t>
  </si>
  <si>
    <t xml:space="preserve">Izvor financiranja: 05 - Pomoći </t>
  </si>
  <si>
    <t xml:space="preserve">Aktivnost A002020101: Redovni rad osoba na javnim radovima </t>
  </si>
  <si>
    <t>GLAVA 00202: Poljoprivreda i poduzetništvo</t>
  </si>
  <si>
    <t>Program 01: Unaprjeđenje poljoprivrede</t>
  </si>
  <si>
    <t>i stočarstva</t>
  </si>
  <si>
    <t>Program 02: Unaprjeđenje razvoja turizma</t>
  </si>
  <si>
    <t xml:space="preserve">GLAVA 00203: Prostorno planiranje, uređenje </t>
  </si>
  <si>
    <t>i komunalne djelatnosti</t>
  </si>
  <si>
    <t>Program 02: Program građenja komunalne infrastrukture</t>
  </si>
  <si>
    <t xml:space="preserve">Izvor financiranja: 01 - Opći prihodi i primici </t>
  </si>
  <si>
    <t xml:space="preserve">Program 03: Razvoj i upravljanje sustavom vodoopskrbe, </t>
  </si>
  <si>
    <t>odvodnje i zaštite voda</t>
  </si>
  <si>
    <t>Program 04: Zaštita i uređenje okoliša</t>
  </si>
  <si>
    <t>Program 05: Veterinarska zaštita okoliša</t>
  </si>
  <si>
    <t>GLAVA 00204: Odgoj i obrazovanje</t>
  </si>
  <si>
    <t>Program 01: Predškolski odgoj</t>
  </si>
  <si>
    <t>Korisnik: Dječji vrtić "Košutica"</t>
  </si>
  <si>
    <t>Osnovnoj školi</t>
  </si>
  <si>
    <t>srednjih škola</t>
  </si>
  <si>
    <t>Aktivnost A002040203: Studentske stipendije</t>
  </si>
  <si>
    <t xml:space="preserve">GLAVA 00205: ORGANIZACIJA I PROVOĐENJE ZAŠTITE </t>
  </si>
  <si>
    <t>I SPAŠAVANJA</t>
  </si>
  <si>
    <t>Program 01: Protupožarna zaštita</t>
  </si>
  <si>
    <t>Program 02: Civilna zaštita</t>
  </si>
  <si>
    <t>GLAVA 00206: REKREACIJA, KULTURA, RELIGIJA</t>
  </si>
  <si>
    <t>Program 01: Program javnih potreba u sportu</t>
  </si>
  <si>
    <t>sportskih udruga</t>
  </si>
  <si>
    <t>Program 02: Program javnih potreba u kulturi</t>
  </si>
  <si>
    <t>Program 01: Pomoć obiteljima i kućanstvima</t>
  </si>
  <si>
    <t>GLAVA 00207: ZDRAVSTVO I SOCIJALNA SKRB</t>
  </si>
  <si>
    <t>Aktivnost A002070101: Pomoć obiteljima</t>
  </si>
  <si>
    <t>Izvor financiranja; 01 - Opći prihodi i primici</t>
  </si>
  <si>
    <t>Aktivnost A002070102: Pokloni djeci za blagdane</t>
  </si>
  <si>
    <t>Program 02: Humanitarna skrb kroz udruge građana</t>
  </si>
  <si>
    <t>Aktivnost A002070202: Sufinanciranje zdravstvenih usluga</t>
  </si>
  <si>
    <t>GLAVA 00208: POTICANJE RAZVOJA CIVIL. DRUŠTVA</t>
  </si>
  <si>
    <t>Program 01: Djelatnost udruga građana</t>
  </si>
  <si>
    <t xml:space="preserve">Rashodi za nabavu proizvedene dugotrajne imovine </t>
  </si>
  <si>
    <t xml:space="preserve">Financijski rashodi </t>
  </si>
  <si>
    <t xml:space="preserve">Aktivnost A002020101: Poticanje poljoprivredne proizvodnje </t>
  </si>
  <si>
    <t>Aktivnost A002020102: Subvencije u turizmu</t>
  </si>
  <si>
    <t>Aktivnost A002030104: Održavanje groblja</t>
  </si>
  <si>
    <t xml:space="preserve">Aktivnost A002030103: Održavanje građ. javne odvodnje oborinskih voda </t>
  </si>
  <si>
    <t xml:space="preserve">Izvor financiranja: 04 - Prihod za posebne namjene </t>
  </si>
  <si>
    <t>sportskih i rekreacijskih prostora</t>
  </si>
  <si>
    <t>vodovoda odvodnje</t>
  </si>
  <si>
    <t>Aktivnost A002030401: Zaštita i uređenje okoliša</t>
  </si>
  <si>
    <t>Aktivnost A002030501: Veterinarske usluge</t>
  </si>
  <si>
    <t>Kapitalni projekt 002030701: Izgradnja i održavanje turist. infrastrukture</t>
  </si>
  <si>
    <t>Rashodi za dodatna ulaganja na nefinancijskoj imovini</t>
  </si>
  <si>
    <t>Financijski rashodi</t>
  </si>
  <si>
    <t>UKUPNO RASHODI I IZDACI</t>
  </si>
  <si>
    <t>01</t>
  </si>
  <si>
    <t>05</t>
  </si>
  <si>
    <t>Pomoći</t>
  </si>
  <si>
    <t>04</t>
  </si>
  <si>
    <t>Prihod za posebne namjene</t>
  </si>
  <si>
    <t>PRIHODI OD POREZA</t>
  </si>
  <si>
    <t>Porez na dohodak</t>
  </si>
  <si>
    <t xml:space="preserve">ISPLATA GOD.OBRAČUN POREZA </t>
  </si>
  <si>
    <t>Porez na korištenje javnih površina</t>
  </si>
  <si>
    <t>Porez na promet nekretnina</t>
  </si>
  <si>
    <t>Porez na potrošnju</t>
  </si>
  <si>
    <t xml:space="preserve">POMOĆI IZ INOZEMSTVA I OD SUBJEKATA </t>
  </si>
  <si>
    <t xml:space="preserve">          UNUTAR OPĆEG PRORAČUNA</t>
  </si>
  <si>
    <t>Tekuće pomoći iz državnog proračuna-komp. Mjera</t>
  </si>
  <si>
    <t>mala škola</t>
  </si>
  <si>
    <t>Pomoći iz DP-turist.infrastruktura</t>
  </si>
  <si>
    <t>Kapitalne pomoći iz ŽP-(ceste i drugi projekti)</t>
  </si>
  <si>
    <t>Potpore zavoda za zapošljavanje</t>
  </si>
  <si>
    <t>Porez na dohodak-JVP</t>
  </si>
  <si>
    <t>PRIHODI OD IMOVINE</t>
  </si>
  <si>
    <t>Kamate na oročena sred. i depozite po viđenju</t>
  </si>
  <si>
    <t>Naknada za koncesiju - dimnjačarske usluge</t>
  </si>
  <si>
    <t>Naknada za koncesiju-INA</t>
  </si>
  <si>
    <t>Prihodi od zakupa i iznajmljivanja imovine</t>
  </si>
  <si>
    <t>Prihodi od groblja i mrtvačnice</t>
  </si>
  <si>
    <t>Prihod od prenamjene poljoprivrednog zemljišta</t>
  </si>
  <si>
    <t>Prihod od spomeničke rente</t>
  </si>
  <si>
    <t>Naknada za eksploataciju mineralnih sirovina</t>
  </si>
  <si>
    <t>Prihod uslužnosti prava puta od infrastr.operatera</t>
  </si>
  <si>
    <t>Prihodi od grobne naknade</t>
  </si>
  <si>
    <t>Vodni doprinos</t>
  </si>
  <si>
    <t>Šumski doprinos</t>
  </si>
  <si>
    <t>Prihodi od uplate roditelja za DV</t>
  </si>
  <si>
    <t>Komunalni doprinos</t>
  </si>
  <si>
    <t>Komunalne naknade</t>
  </si>
  <si>
    <t>PRIHODI OD PRODAJE PROIZVED. IMOVINE</t>
  </si>
  <si>
    <t>Stambeni objekti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</si>
  <si>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</si>
  <si>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</si>
  <si>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</si>
  <si>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</si>
  <si>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</si>
  <si>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</si>
  <si>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</si>
  <si>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</si>
  <si>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FINANCIJSKI RASHODI</t>
  </si>
  <si>
    <t>OSTALI FINANCIJSKI RASHODI</t>
  </si>
  <si>
    <t>SUBVENCIJE</t>
  </si>
  <si>
    <t xml:space="preserve">POMOĆI UNUTAR OPĆEG PRORAČUNA </t>
  </si>
  <si>
    <t>NAKNADE GRAĐANIMA I KUĆANSTVIMA</t>
  </si>
  <si>
    <t>OSTALE NAKNADE GRAĐANIMA I KUĆANSTVIMA</t>
  </si>
  <si>
    <t>DONACIJE I OSTALI RASHODI</t>
  </si>
  <si>
    <t>TEKUĆE DONACIJE</t>
  </si>
  <si>
    <t>GRAĐEVINSKI OBJEKTI</t>
  </si>
  <si>
    <t>POSTROJENJA I OPREMA</t>
  </si>
  <si>
    <t>NEMATERIJALNA PROIZVEDENA IMOVINA</t>
  </si>
  <si>
    <t>GLAVA 00101: PREDSTAVNIČKA I IZVRŠNA TIJELA</t>
  </si>
  <si>
    <t xml:space="preserve">Aktivnost A001010101: Općinski načelnik </t>
  </si>
  <si>
    <t>BRUTO PLAĆA</t>
  </si>
  <si>
    <t>Doprinosi za zdravstveno osiguranje</t>
  </si>
  <si>
    <t>Službena putovanja</t>
  </si>
  <si>
    <t>OSTALI NESPOMENUTI RASHODI POSLOVANJA</t>
  </si>
  <si>
    <t>Reprezentacija - općinski i vjerski blagdani</t>
  </si>
  <si>
    <t>Reprezentacija</t>
  </si>
  <si>
    <t>Reprezentacija - božićni pokloni</t>
  </si>
  <si>
    <t>OSTALI RASHODI</t>
  </si>
  <si>
    <t xml:space="preserve">Tekuće donacije </t>
  </si>
  <si>
    <t>Tekuća zaliha</t>
  </si>
  <si>
    <t>Aktivnost A001010102: Općinsko vijeće i radna tijela Općinskog vijeća</t>
  </si>
  <si>
    <t xml:space="preserve">RASHODI POSLOVANJA </t>
  </si>
  <si>
    <t>OSTALI NESPOMENUTI RASHODI POSLOV.</t>
  </si>
  <si>
    <t>Naknade članovima Op.vijeća i Povjerenstava</t>
  </si>
  <si>
    <t>Savjet potrošača-naknade</t>
  </si>
  <si>
    <t>Tekuće donacije u novcu (savjet mladih)</t>
  </si>
  <si>
    <t>Tekuće donacije u novcu (stranke)</t>
  </si>
  <si>
    <t>GLAVA 00201: JEDINSTVENI UPRAVNI ODJEL</t>
  </si>
  <si>
    <t>Program 01: Opći, upravni i financijsko računovod. poslovi</t>
  </si>
  <si>
    <t>Aktivnost A002010101: Redovni rad Jedinstvenog upravnog</t>
  </si>
  <si>
    <t>odjela</t>
  </si>
  <si>
    <t>BRUTO PLAĆE</t>
  </si>
  <si>
    <t>Ostali rashodi za zaposlene (regres, božićnice)</t>
  </si>
  <si>
    <t>Naknada za prijevoz na posao i s posla</t>
  </si>
  <si>
    <t>Stručno usavršavanje</t>
  </si>
  <si>
    <t>Uredski materijal</t>
  </si>
  <si>
    <t>Materijal i sred. za čišćenje</t>
  </si>
  <si>
    <t>Ostali materijal</t>
  </si>
  <si>
    <t>Električna energija</t>
  </si>
  <si>
    <t xml:space="preserve">Potrošnja plina </t>
  </si>
  <si>
    <t>Sitan inventar</t>
  </si>
  <si>
    <t>Radna i zaštitna odjeća i obuća</t>
  </si>
  <si>
    <t>Usluge telefona</t>
  </si>
  <si>
    <t>Poštanske marke i poštarina</t>
  </si>
  <si>
    <t>usluge prijevoza</t>
  </si>
  <si>
    <t>Izdaci reklamiranja i objave oglasa</t>
  </si>
  <si>
    <t>Slivna vodna naknada</t>
  </si>
  <si>
    <t>Najam opreme (fotokop.aparat)</t>
  </si>
  <si>
    <t>Ugovori o djelu - bruto</t>
  </si>
  <si>
    <t xml:space="preserve">Usluge odvjetnika </t>
  </si>
  <si>
    <t>Geodetske usluge</t>
  </si>
  <si>
    <t>Konzultantske usluge</t>
  </si>
  <si>
    <t>Računalne usluge i antivirusni programi</t>
  </si>
  <si>
    <t>Grafičke i tiskarske usluge,izrada fotografija</t>
  </si>
  <si>
    <t>Usluge bibliobusa</t>
  </si>
  <si>
    <t>Usluga slanja e-računa</t>
  </si>
  <si>
    <t>Troškovi prijevoza pokojnika</t>
  </si>
  <si>
    <t xml:space="preserve">Zaštita na radu </t>
  </si>
  <si>
    <t>DP-1% prihoda</t>
  </si>
  <si>
    <t>Opskrba vodom</t>
  </si>
  <si>
    <t>Ostale nespomenute usluge</t>
  </si>
  <si>
    <t>Reprezentacija - tekuća</t>
  </si>
  <si>
    <t>Članarine- Udruga Općina,LAG, TZ</t>
  </si>
  <si>
    <t xml:space="preserve">RASHODI ZA NABAVU NEFINANCIJSKE IMOVINE </t>
  </si>
  <si>
    <t>Aktivnost A002010102: Financije</t>
  </si>
  <si>
    <t>Sudske i javnobilježničke pristojbe</t>
  </si>
  <si>
    <t>Bankarske usluge i usluge platnog prometa</t>
  </si>
  <si>
    <t>Ostali nesp. fin. rashodi</t>
  </si>
  <si>
    <t xml:space="preserve">Kapitalni projekt 002030203: Sufinanciranje ŽUC </t>
  </si>
  <si>
    <t xml:space="preserve">POMOĆI DANE U INOZEMSTVO I UNUTAR OPĆEG PRORAČUNA </t>
  </si>
  <si>
    <t xml:space="preserve">Tekuće pomoći unutar općeg proračuna </t>
  </si>
  <si>
    <t>RASHODI ZA NABAVU PROIZVEDENE FINANCIJSKE IMOVINE</t>
  </si>
  <si>
    <t>Izrada projektne natječajne dokumentacije</t>
  </si>
  <si>
    <t>Uredska oprema i namještaj</t>
  </si>
  <si>
    <t>Nabava računalnih programa</t>
  </si>
  <si>
    <t xml:space="preserve">RASHODI ZA ZAPOSLENE </t>
  </si>
  <si>
    <t>Bruto plaće</t>
  </si>
  <si>
    <t>GLAVA 00202: POLJOPRIVREDA I PODUZETNIŠTVO</t>
  </si>
  <si>
    <t>SUBVENCIJE POLJOPRIVREDNICIMA</t>
  </si>
  <si>
    <t>Subvencije poljoprivrednicima</t>
  </si>
  <si>
    <t>POMOĆI UNUTAR OPĆEG PRORAČUNA</t>
  </si>
  <si>
    <t>Poljoprivredni redar</t>
  </si>
  <si>
    <t>SUBVENCIJE OBRTNICIMA I PODUZETNICIMA</t>
  </si>
  <si>
    <t xml:space="preserve">GLAVA 00203: PROSTORNO PLANIRANJE, UREĐENJE  </t>
  </si>
  <si>
    <t>I KOMUNALNE DJELATNOSTI</t>
  </si>
  <si>
    <t>Program 01: Program održavanja komunalne infrastrukture</t>
  </si>
  <si>
    <t>Funkcijska klasifikacija: 06 - Unaprjeđenje stanovanja i zajednice</t>
  </si>
  <si>
    <t>Usluge odvoza smeća s mjesnog groblja</t>
  </si>
  <si>
    <t xml:space="preserve">RASHODI ZA MATERIJAL I ENERGIJU </t>
  </si>
  <si>
    <t xml:space="preserve">RASHODI ZA USLUGE </t>
  </si>
  <si>
    <t>RASHODI ZA NABAVU PROIZVEDENE DUGOTRAJNE IMOVINE</t>
  </si>
  <si>
    <t>Usluge održavanja</t>
  </si>
  <si>
    <t>Aktivnost A002030102: Tekuće održavanje mreže javne rasvjete</t>
  </si>
  <si>
    <t>Utrošak el.energije</t>
  </si>
  <si>
    <t>Održavanje i modernizacija mreže javne rasvjete</t>
  </si>
  <si>
    <t xml:space="preserve">Kapitalni projekt 002030206: Uređenje parka na Trgu slobode  </t>
  </si>
  <si>
    <t xml:space="preserve">Kapitalni projekt 002030202: Rekonstrukcija sportskih </t>
  </si>
  <si>
    <t>i rekreacijskih prostora</t>
  </si>
  <si>
    <t>Kapitalni projekt 002030301: Izgradnja sekundarnog vodovoda</t>
  </si>
  <si>
    <t>odvodnje</t>
  </si>
  <si>
    <t>RASH. ZA NABAVU PROIZV. DUGOTR. IMOV.</t>
  </si>
  <si>
    <t>Aglomeracija</t>
  </si>
  <si>
    <t>Komunalni redar</t>
  </si>
  <si>
    <t xml:space="preserve">otpada </t>
  </si>
  <si>
    <t>Kapitalni projekt 002030403: Nabava opreme za zaštitu okoliša</t>
  </si>
  <si>
    <t>Stručni nadzor nad provođenjem deratizacije</t>
  </si>
  <si>
    <t xml:space="preserve">Pregled mesa na trihinelozu </t>
  </si>
  <si>
    <t>SUF. STERILIZACIJE PASA</t>
  </si>
  <si>
    <t xml:space="preserve">SUBVENCIJE </t>
  </si>
  <si>
    <t xml:space="preserve">SUBVENCIJE POLJOPRIVREDNICIMA </t>
  </si>
  <si>
    <t>RASHODI ZA NABAVU PROIZVEDENE DUGOTR. IMOVINE</t>
  </si>
  <si>
    <t>RASHODI ZA DODATNA ULAGANJA NA NEF.IMOVINI</t>
  </si>
  <si>
    <t xml:space="preserve">DODATNA ULAGANJA NA GRAĐ. OBJEKTIMA </t>
  </si>
  <si>
    <t>Ostale usluge tekućeg održavanja</t>
  </si>
  <si>
    <t>Program 07: Izgradnja i održav. turističke infrastrukture</t>
  </si>
  <si>
    <t>RASHODI ZA NABAVU PROIZV.DUGOTR.IMOVINE</t>
  </si>
  <si>
    <t>Izgradnja i održavanje turističke infrastrukture</t>
  </si>
  <si>
    <t xml:space="preserve">Materijal i dijelovi za tekuće održavanje </t>
  </si>
  <si>
    <t>objektima</t>
  </si>
  <si>
    <t>RASHODI ZA DODATNA ULAGANJA NA NEFIN.IMOVINI</t>
  </si>
  <si>
    <t>DODATNA ULAGANJA NA GRAĐEVINSKIM OBJEKTIMA</t>
  </si>
  <si>
    <t xml:space="preserve">GLAVA 00204: ODGOJ I OBRAZOVANJE </t>
  </si>
  <si>
    <t>Aktivnost A002040101: Redovni rad Dječjeg vrtića "Košutica"</t>
  </si>
  <si>
    <t>Bruto plaće za redovni rad</t>
  </si>
  <si>
    <t>Ostali rashodi za zaposlene (regres, božićnice,..)</t>
  </si>
  <si>
    <t>Naknade za prijevoz na posao i s posla</t>
  </si>
  <si>
    <t>Ostale naknade troškova zaposlenika</t>
  </si>
  <si>
    <t>Uredski materijal i ostali materijalni rashodi</t>
  </si>
  <si>
    <t>Materijal i sirovine</t>
  </si>
  <si>
    <t>SITNI- IGRAČKE</t>
  </si>
  <si>
    <t>RADNA ODJEĆA I OBUĆA</t>
  </si>
  <si>
    <t>Tekuće održavanje</t>
  </si>
  <si>
    <t>RAČUNALNE USLUGE</t>
  </si>
  <si>
    <t>OSTALI NESPOMENUTI RASH. POSLOVANJA</t>
  </si>
  <si>
    <t>Naknade za rad Upravnog vijeća</t>
  </si>
  <si>
    <t>članarine</t>
  </si>
  <si>
    <t>RASHODI PROTOKOLA (VIJENCI, CVIJEĆE I SL)</t>
  </si>
  <si>
    <t>Ostali nespomenuti financijski rashodi</t>
  </si>
  <si>
    <t>RASHODI ZA NABAVU NEFINANCIJSKE IMOV.</t>
  </si>
  <si>
    <t>Aktivnost A002040201: Unaprjeđenje nastave u Osnovnoj školi</t>
  </si>
  <si>
    <t>Aktivnost A002040202: Novčana pomoć učenicima srednjih škola</t>
  </si>
  <si>
    <t>Sufinanciranje prijevoza učenika</t>
  </si>
  <si>
    <t>Stipendije studentima</t>
  </si>
  <si>
    <t>GLAVA 00205: ORGANIZACIJA I PROVOĐENJE ZAŠTITE I SPAŠAVANJA</t>
  </si>
  <si>
    <t>Aktivnost A002050101: Sufinanciranje rada vatrogasnih društava, zajednica i postrojbi</t>
  </si>
  <si>
    <t>Pomoći gradskom proračunu-JVP</t>
  </si>
  <si>
    <t>TEKUĆE DONACIJE - vatrogastvo</t>
  </si>
  <si>
    <t xml:space="preserve">udruga zaštite pomoći i spašavanja </t>
  </si>
  <si>
    <t>Donacija - HGSS</t>
  </si>
  <si>
    <t>Aktivnost A002060101: Sufinanciranje programa sportskih udruga</t>
  </si>
  <si>
    <t>TEKUĆE DONACIJE - sportske udruge</t>
  </si>
  <si>
    <t>Aktivnost A002060103: Sufinanc. župe i žup.ureda</t>
  </si>
  <si>
    <t xml:space="preserve">TEKUĆE DONACIJE-župa </t>
  </si>
  <si>
    <t>Ostale naknade građanima i kućanstvima</t>
  </si>
  <si>
    <t xml:space="preserve">Pomoć umirovljenicima </t>
  </si>
  <si>
    <t>Porodiljne naknade</t>
  </si>
  <si>
    <t>Pomoć mladim obiteljima-stambeno zbrinjavanje</t>
  </si>
  <si>
    <t>Sufinanciranje školske opreme (OŠ)</t>
  </si>
  <si>
    <t>Sufinanciranje poštanskih usluga</t>
  </si>
  <si>
    <t>Pokloni djeci za blagdane</t>
  </si>
  <si>
    <t>Doprinos za zdravstveno osiguranje</t>
  </si>
  <si>
    <t xml:space="preserve">NAKNADE TROŠKOVA ZAPOSLENIMA </t>
  </si>
  <si>
    <t xml:space="preserve">Naknada za korištenje privat automobila u službene svrhe </t>
  </si>
  <si>
    <t>Aktivnost A002070201:Sufinanciranje udruga i društava</t>
  </si>
  <si>
    <t>Sufinanciranje rada Crvenog križa</t>
  </si>
  <si>
    <t>Akcija Solidarnost na djelu</t>
  </si>
  <si>
    <t>Tekuće donacije - liječnik</t>
  </si>
  <si>
    <t xml:space="preserve">GLAVA 00208: POTICANJE RAZVOJA CIVILNOG DRUŠTVA </t>
  </si>
  <si>
    <t>Tekuće donacije udrugama</t>
  </si>
  <si>
    <t>Pričuva Mirogojska</t>
  </si>
  <si>
    <t xml:space="preserve">Mat. Tekuće održavanje objekata i opreme </t>
  </si>
  <si>
    <t xml:space="preserve">Intelektualne usluge, ugovor o djelu </t>
  </si>
  <si>
    <t>Ostale usluge (kopiranje, tisak)</t>
  </si>
  <si>
    <t>Kamata</t>
  </si>
  <si>
    <t>bruto plaća načelnika</t>
  </si>
  <si>
    <t>bruto plaće</t>
  </si>
  <si>
    <t>ošasna i mi</t>
  </si>
  <si>
    <t xml:space="preserve">proračunsko </t>
  </si>
  <si>
    <t xml:space="preserve">Pristojbe i naknade ivanec </t>
  </si>
  <si>
    <t xml:space="preserve">Materijal </t>
  </si>
  <si>
    <t xml:space="preserve">Ostali izdaci vezani uz zaštitu okoliša kazna </t>
  </si>
  <si>
    <t xml:space="preserve">Deratizacija, dezinsekcija, dezinfekcija (der 24, kom </t>
  </si>
  <si>
    <t xml:space="preserve">Kapitalne pomoći skela </t>
  </si>
  <si>
    <t>12*700*10 mjeseci</t>
  </si>
  <si>
    <t>Kapitalni projekt 002030213: Izgradnja spremišta za komunalnu opremu</t>
  </si>
  <si>
    <t>Ostali građevinski objekti</t>
  </si>
  <si>
    <t>Mat.za hig. potrebe</t>
  </si>
  <si>
    <t>Monitoring</t>
  </si>
  <si>
    <t>kalinovac</t>
  </si>
  <si>
    <t>Rušenje starih objekata-kuća</t>
  </si>
  <si>
    <t>Dogadnja staza</t>
  </si>
  <si>
    <t>Tekuće donacije - dom zdravlja</t>
  </si>
  <si>
    <t>Održavanje skele, godišnji pregled i registracija</t>
  </si>
  <si>
    <t>SVEUKUPNO PRIHODI I PRIMICI</t>
  </si>
  <si>
    <t xml:space="preserve"> Proračun 2024. godine €</t>
  </si>
  <si>
    <t>EUR</t>
  </si>
  <si>
    <t>Proračun za 2024.</t>
  </si>
  <si>
    <t xml:space="preserve">C) PRENESENI VIŠAK ILI PRENESENI MANJAK </t>
  </si>
  <si>
    <t>8 PRIMICI OD FINANCIJSKE IMOVINE I ZADUŽIVANJA</t>
  </si>
  <si>
    <t>5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</si>
  <si>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</si>
  <si>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</si>
  <si>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</si>
  <si>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</si>
  <si>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</si>
  <si>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</si>
  <si>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 xml:space="preserve">RASHODI POSLOVANJA PREMA EKONOMSKOJ KLASIFIKACIJI </t>
  </si>
  <si>
    <t>PRIHODI POSLOVANJA PREMA IZVORIMA FINANCIRANJA</t>
  </si>
  <si>
    <t>RASHODI POSLOVANJA PREMA IZVORIMA FINANCIRANJA</t>
  </si>
  <si>
    <t>B. RAČUN FINANCIRANJA PREMA EKONOMSKOJ KLASIFIKACIJI</t>
  </si>
  <si>
    <t>B. RAČUN FINANCIRANJA PREMA IZVORIMA FINANCIRANJA</t>
  </si>
  <si>
    <t xml:space="preserve">011 Izvršna i zakonodavna tijela </t>
  </si>
  <si>
    <t>016 Opće usluge koje nisu drugdje svrstane</t>
  </si>
  <si>
    <t>042 Poljoprivreda, šumarstvo, ribarstvo i lov</t>
  </si>
  <si>
    <t>041 Opći, ekonomski, trgovački i poslovi vezani uz rad</t>
  </si>
  <si>
    <t>Aktivnost A002030101: Održavanje nerazvrstanih cesta</t>
  </si>
  <si>
    <t>Šodrenje, tek.održavanje cesta i mostova, krpanje, bitumenizacija</t>
  </si>
  <si>
    <t>Nabava spremnika za prikupljanje komunalnog otpada</t>
  </si>
  <si>
    <t>oprema za zaštitu okoliša (kamere)</t>
  </si>
  <si>
    <t xml:space="preserve">čipiranje </t>
  </si>
  <si>
    <t>Zbrinjavanje pasa</t>
  </si>
  <si>
    <t xml:space="preserve">Subvencije obrtnicima i poduzetnicima i fizičkim </t>
  </si>
  <si>
    <t>Program 06: Izgradnja i održavanje ostale infrastrukture</t>
  </si>
  <si>
    <t>Aktivnost nova xxx</t>
  </si>
  <si>
    <t>Aktivnost 002060201: Sufinanc. udruga u kulturi</t>
  </si>
  <si>
    <t xml:space="preserve">TEKUĆE DONACIJE </t>
  </si>
  <si>
    <t>TEKUĆE DONACIJE-kultura pjevaći, kud</t>
  </si>
  <si>
    <t>mladi</t>
  </si>
  <si>
    <t xml:space="preserve">branitelji </t>
  </si>
  <si>
    <t xml:space="preserve">Aktivnost A002080101: Sufinanciranje projekata i programa </t>
  </si>
  <si>
    <t>dravski dečki</t>
  </si>
  <si>
    <t>multipla skleroza</t>
  </si>
  <si>
    <t>slepi</t>
  </si>
  <si>
    <t>umirovljenici</t>
  </si>
  <si>
    <t>udruga žena</t>
  </si>
  <si>
    <t>udruga informatičara</t>
  </si>
  <si>
    <t>bratovština</t>
  </si>
  <si>
    <t>Program 03: Prog.sufinanc. vjerskih zajednica</t>
  </si>
  <si>
    <t>sve ostale verica, konjići, grga, i dr.</t>
  </si>
  <si>
    <t xml:space="preserve">Program 03: Primarna zdravstvena zaštita </t>
  </si>
  <si>
    <t>Program xx broj: Razvoj i sigurnost prometa</t>
  </si>
  <si>
    <t>Program 02: Osnovno i srednjoškolsko obrazovanje</t>
  </si>
  <si>
    <t>Program 04: Visoko obrazovanje</t>
  </si>
  <si>
    <t>Program 1000: Predstavnička i izvršna vlast</t>
  </si>
  <si>
    <t>Program 1002: Opći, upravni i financ. računovod. poslovi</t>
  </si>
  <si>
    <t xml:space="preserve">Funkcijska klasifikacija 011 Izvršna i zakonodavna tijela </t>
  </si>
  <si>
    <t xml:space="preserve">Funkcijska klasifikacija 016 Opće usluge koje nisu drugdje svrstane </t>
  </si>
  <si>
    <t>Program 1003: Razvoj i sigurnost prometa</t>
  </si>
  <si>
    <t xml:space="preserve">Program 1004: Zapošljavanje osoba na javnim radovima </t>
  </si>
  <si>
    <t>Program 1005: Unaprjeđenje poljoprivrede</t>
  </si>
  <si>
    <t>Program 1006: Unaprjeđenje razvoja turizma</t>
  </si>
  <si>
    <t>Program 1008: Građenje komunalne infrastrukture</t>
  </si>
  <si>
    <t xml:space="preserve">Program 1009: Razvoj i upravljanje sustavom vodoopskrbe, </t>
  </si>
  <si>
    <t>Program 1010: Zaštita i uređenje okoliša</t>
  </si>
  <si>
    <t>Program 1011: Veterinarska zaštita okoliša</t>
  </si>
  <si>
    <t>Program 1012: Izgradnja i održav. ostale infrastrukture</t>
  </si>
  <si>
    <t>Program 1013: Izgradnja i održavanje turističke infrastrukt.</t>
  </si>
  <si>
    <t>Program 1014: Predškolski odgoj</t>
  </si>
  <si>
    <t>Program 1015: Osnovnoškolsko obrazovanje</t>
  </si>
  <si>
    <t>Program 1016: Srednjoškolsko obrazovanje</t>
  </si>
  <si>
    <t>Program 1017: Visoko obrazovanje</t>
  </si>
  <si>
    <t>Program 1018: Protupožarna zaštita</t>
  </si>
  <si>
    <t>Program 1019: Civilna zaštita</t>
  </si>
  <si>
    <t>Program 1020: Javne potrebe u sportu</t>
  </si>
  <si>
    <t>Program 1021: Javne potrebe u kulturi</t>
  </si>
  <si>
    <t>Program 1023: Pomoć obiteljima i kućanstvima</t>
  </si>
  <si>
    <t>Program 1024: Humanitarna skrb kroz udruge građana</t>
  </si>
  <si>
    <t>Program 1025: Primarna zdravstvena zaštita</t>
  </si>
  <si>
    <t>Program 1026: Djelatnost udruga građana</t>
  </si>
  <si>
    <t>Funkcijska klasifikacija 045 Cestovni promet</t>
  </si>
  <si>
    <t>Funkcijska klasifikacija 062 Razvoj zajednice</t>
  </si>
  <si>
    <t>Funkcijska klasifikacija 105 nezaposlenost</t>
  </si>
  <si>
    <t>Funkcijska klasifikacija 042 Poljoprivreda, šumarstvo, ribarstvo i lov</t>
  </si>
  <si>
    <t>Funkcijska klasifikacija 041 Opći, ekonomski, trgovački i poslovi vezani uz rad</t>
  </si>
  <si>
    <t>Funkcijska klasifikacija 064 Ulična rasvjeta</t>
  </si>
  <si>
    <t>Funkcijska klasifikacija 062  Razvoj zajednice</t>
  </si>
  <si>
    <t>Funkcijska klasifikacija 063 Opskrba vodom</t>
  </si>
  <si>
    <t>Funkcijska klasifikacija 056 poslovi i usluge zaštite okoliša koji nisu drugdje svrstani</t>
  </si>
  <si>
    <t>Funkcijska klasifikacija 051 Gospodarenje otpadom</t>
  </si>
  <si>
    <t>Funkcijska klasifikacija 056 Poslovi i usluge zaštite okoliša koji nisu drugdje svrstani</t>
  </si>
  <si>
    <t>Funkcijska klasifikacija 066 Rashodi vezani za stanovanje i kom. pogodnosti koji nisu drugdje svrstani</t>
  </si>
  <si>
    <t xml:space="preserve">Funkcijska klasifikacija 091 Predškolsko obrazovanje </t>
  </si>
  <si>
    <t xml:space="preserve">Funkcijska klasifikacija 092 Osnovnoškolsko obrazovanje </t>
  </si>
  <si>
    <t xml:space="preserve">Funkcijska klasifikacija 093 Srednjškolsko obrazovanje </t>
  </si>
  <si>
    <t>Funkcijska klasifikacija 094 Visoka naobrazba</t>
  </si>
  <si>
    <t>Funkcijska klasifikacija 032 Usluge protupožarne zaštite</t>
  </si>
  <si>
    <t>Funkcijska klasifikacija 022 Civilna obrana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</si>
  <si>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</si>
  <si>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</si>
  <si>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</si>
  <si>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104 Obitelj i djeca</t>
  </si>
  <si>
    <t>Funkcijska klasifikacija 102 Starost</t>
  </si>
  <si>
    <t>Funkcijska klasifikacija 107 Socijalna pomoć stanovništvu koje nije obuhvaćeno redovnim socijalnim programima</t>
  </si>
  <si>
    <t>Funkcijska klasifikacija 072 Službe za vanjske pacijente</t>
  </si>
  <si>
    <t>Funkcijska klasifikacija 086 Rashodi za rekreaciju, kulturu i religiju koji nisu drugdje svrstani</t>
  </si>
  <si>
    <t>Povećanje / Smanjenje</t>
  </si>
  <si>
    <t xml:space="preserve">DP MUP ŠIKANA </t>
  </si>
  <si>
    <t>Fotonaponske proizvodnja el.en.</t>
  </si>
  <si>
    <t>usluge vaganja i prijevoza skelom</t>
  </si>
  <si>
    <t>II izmjene za 2023. godinu</t>
  </si>
  <si>
    <t>Plan 2024</t>
  </si>
  <si>
    <t xml:space="preserve">ostale usluge tekućeg održavanja i ošasna </t>
  </si>
  <si>
    <t xml:space="preserve">Naknade za prijevoz na posao </t>
  </si>
  <si>
    <t>OBILJEŽAVANJE PARKINGA</t>
  </si>
  <si>
    <t xml:space="preserve">Kapitalni projekt : Rekonstrukcija i dodatna ulaganja na građevinskim </t>
  </si>
  <si>
    <t>Naknade građanima u naturi</t>
  </si>
  <si>
    <t>Mariška</t>
  </si>
  <si>
    <t>1 na 12 mjeseci</t>
  </si>
  <si>
    <t xml:space="preserve">Civilna </t>
  </si>
  <si>
    <t xml:space="preserve">70eura </t>
  </si>
  <si>
    <t>40eura *90 dece</t>
  </si>
  <si>
    <t>regres300 €</t>
  </si>
  <si>
    <t>božićnica 300€  Marta jubilarka 199,00€ Vranić 332,00€</t>
  </si>
  <si>
    <t>Usluge telefona, pošte, prijevoza</t>
  </si>
  <si>
    <t xml:space="preserve">Komunalne usluge i opskrba vodom, deratizacija </t>
  </si>
  <si>
    <t>Zdravstvene usluge, analize voda hrana</t>
  </si>
  <si>
    <t>uredski namještaj</t>
  </si>
  <si>
    <t>oprema</t>
  </si>
  <si>
    <t>isplaćeno u 2023</t>
  </si>
  <si>
    <t>ispl u 2023</t>
  </si>
  <si>
    <t>13272,28 ispl u 2023</t>
  </si>
  <si>
    <t xml:space="preserve">13,28 po psu </t>
  </si>
  <si>
    <t>skrb 155*12</t>
  </si>
  <si>
    <t>150*2</t>
  </si>
  <si>
    <t>200*12</t>
  </si>
  <si>
    <t>220*12</t>
  </si>
  <si>
    <t>266*12</t>
  </si>
  <si>
    <t>20*12</t>
  </si>
  <si>
    <t xml:space="preserve">komunalna </t>
  </si>
  <si>
    <t>Premije osiguranja imovine i fotonaponske, kombi traktor</t>
  </si>
  <si>
    <t>150*12</t>
  </si>
  <si>
    <t xml:space="preserve">hrt pristojba </t>
  </si>
  <si>
    <t>11*12</t>
  </si>
  <si>
    <t>470*2</t>
  </si>
  <si>
    <t>250*12</t>
  </si>
  <si>
    <t>24*12</t>
  </si>
  <si>
    <t>130*12</t>
  </si>
  <si>
    <t>5,57kn*22dana*11 meseci*mi 3</t>
  </si>
  <si>
    <t>REGRES 300*6</t>
  </si>
  <si>
    <t>HEL, JA, MEĐ, IVANA, VALE. ŠČUKA</t>
  </si>
  <si>
    <t>BOŽIĆ 300*6</t>
  </si>
  <si>
    <t>HEL</t>
  </si>
  <si>
    <t>JA</t>
  </si>
  <si>
    <t>IVANA</t>
  </si>
  <si>
    <t>MEĐO</t>
  </si>
  <si>
    <t>VELENTINA</t>
  </si>
  <si>
    <t>Koncert-Dani Općine, pozdrav ljetu, PREDSTAVE</t>
  </si>
  <si>
    <t>BU 2024</t>
  </si>
  <si>
    <t>7 ŽENA NA 12 MESECI</t>
  </si>
  <si>
    <t>300 REGRES 300 BOŽIĆNICA</t>
  </si>
  <si>
    <t>VODENICA</t>
  </si>
  <si>
    <t xml:space="preserve">STAZA DRAVSKA </t>
  </si>
  <si>
    <t xml:space="preserve">DETI U TROŠAK ISTO </t>
  </si>
  <si>
    <t xml:space="preserve">IZ EU NOVCI ZA CESTE </t>
  </si>
  <si>
    <t>SVE TRI</t>
  </si>
  <si>
    <t>DP (MIN.GRAD)-GROBLJE</t>
  </si>
  <si>
    <t xml:space="preserve">Eu ceste </t>
  </si>
  <si>
    <t>8,50*12 fina</t>
  </si>
  <si>
    <t>190*12 erste</t>
  </si>
  <si>
    <t xml:space="preserve">280*12 turistička </t>
  </si>
  <si>
    <t xml:space="preserve">250*4 lag </t>
  </si>
  <si>
    <t>vozila 700</t>
  </si>
  <si>
    <t>građevina i fotonaponska 2000</t>
  </si>
  <si>
    <t xml:space="preserve">laptop, kuhinja, ja </t>
  </si>
  <si>
    <t>usjevi 1000</t>
  </si>
  <si>
    <t>svinje 1000</t>
  </si>
  <si>
    <t>krave 18000</t>
  </si>
  <si>
    <t>Aktivnost A001020101: izbori EU parlament, predsjednički , hrvatski sabor</t>
  </si>
  <si>
    <t>120*2 rkc</t>
  </si>
  <si>
    <t>kopirka 90*12</t>
  </si>
  <si>
    <t>napuhanci 380*2</t>
  </si>
  <si>
    <t>wc 150*2</t>
  </si>
  <si>
    <t>eu 2018</t>
  </si>
  <si>
    <t>sabor 2020</t>
  </si>
  <si>
    <t>presjednički 2018</t>
  </si>
  <si>
    <t xml:space="preserve">Troškovi izbora </t>
  </si>
  <si>
    <t>DP-izbori</t>
  </si>
  <si>
    <t xml:space="preserve">bezveze deto </t>
  </si>
  <si>
    <t>Materijal za tek.odr.građevina (paviljon, park, spomenici, busna )</t>
  </si>
  <si>
    <t>usluge za tek.odr.građevina (paviljon, park, spomenici, busna )</t>
  </si>
  <si>
    <t xml:space="preserve">Aktivnost xxx nova: Održavanje građevinskih objekata u vlasništvu Općine </t>
  </si>
  <si>
    <t xml:space="preserve">Kapitalni projekt 002030601: Kapitalna i tekuća ulaganja u prijevozna </t>
  </si>
  <si>
    <t xml:space="preserve">sredstava riječnog prometa </t>
  </si>
  <si>
    <t>27*12 kontak</t>
  </si>
  <si>
    <t>150*12 uredsko</t>
  </si>
  <si>
    <t xml:space="preserve">Održavanje prijevoznih sredstava, tehnički pregled kombi </t>
  </si>
  <si>
    <t>Mat.tek.odr.kombi</t>
  </si>
  <si>
    <t>Održavanje postrojenja i opreme u zgradama</t>
  </si>
  <si>
    <t xml:space="preserve">Gorivo i mazivo kombi </t>
  </si>
  <si>
    <t xml:space="preserve">               usluge košnje </t>
  </si>
  <si>
    <t xml:space="preserve">Komunalna oprema </t>
  </si>
  <si>
    <t xml:space="preserve">Aktivnost xx nova :održavanje zatvorenog i saniranog odlagališta </t>
  </si>
  <si>
    <t xml:space="preserve">Usluge izrade znakova, tabli </t>
  </si>
  <si>
    <t xml:space="preserve">Aktivnost    novo </t>
  </si>
  <si>
    <t>Dogadnja staza, lampe</t>
  </si>
  <si>
    <t xml:space="preserve">bilo 8000 plan </t>
  </si>
  <si>
    <t>nadzor 2000</t>
  </si>
  <si>
    <t>proj1000</t>
  </si>
  <si>
    <t xml:space="preserve">Reflektori na betonskom </t>
  </si>
  <si>
    <t>nadzor 500, projektna 500</t>
  </si>
  <si>
    <t>projekt 1000</t>
  </si>
  <si>
    <t>košnja bankina   3000</t>
  </si>
  <si>
    <t>greder  3000</t>
  </si>
  <si>
    <t>dodatna grupa vrtić</t>
  </si>
  <si>
    <t>Pomoćno igralište (rasvjeta)</t>
  </si>
  <si>
    <t xml:space="preserve">Poboljšanje standarda i školske aktivnosti OŠ Ferdinandovac i </t>
  </si>
  <si>
    <t>dom lepa greda 4000</t>
  </si>
  <si>
    <t>štuka 2500</t>
  </si>
  <si>
    <t>lovci 2500 nogometaši 50000</t>
  </si>
  <si>
    <t>pjevaći 2000</t>
  </si>
  <si>
    <t>hkud 2000</t>
  </si>
  <si>
    <t>moramo rasporediti</t>
  </si>
  <si>
    <t>dodatna ulaganja na skeli</t>
  </si>
  <si>
    <t>MATERIJALNI RAHODI</t>
  </si>
  <si>
    <t>Izrada plana</t>
  </si>
  <si>
    <t>Održavanje javnih površina (septičke, kontejneri)</t>
  </si>
  <si>
    <t>ukras vodenica</t>
  </si>
  <si>
    <t>Donacije</t>
  </si>
  <si>
    <t xml:space="preserve">      323 usluge </t>
  </si>
  <si>
    <t xml:space="preserve">       322 materijal (dr.dom, vrtić, zgrada općine, Brodić, Pavlanci)</t>
  </si>
  <si>
    <t xml:space="preserve">      323 drveće- cimprese sadnja </t>
  </si>
  <si>
    <t xml:space="preserve">     3224      usluge za održavanje postrojenja i opreme</t>
  </si>
  <si>
    <t xml:space="preserve">     3224      usluge održavanja traktora</t>
  </si>
  <si>
    <t xml:space="preserve">     3224      usluga rušenja, orezivanja i sadnje drveća</t>
  </si>
  <si>
    <t xml:space="preserve">     3223       gorivo i mazivo</t>
  </si>
  <si>
    <t xml:space="preserve">     3224      materijal za održavanje postrojenja i opreme</t>
  </si>
  <si>
    <t xml:space="preserve">     3224     materijal za traktor </t>
  </si>
  <si>
    <t xml:space="preserve">      322     cveće i drveće</t>
  </si>
  <si>
    <t xml:space="preserve">     3232     zimska služba</t>
  </si>
  <si>
    <t xml:space="preserve">        32  MATERIJALNI RASHODI</t>
  </si>
  <si>
    <t xml:space="preserve">      323 RASHODI ZA USLUGE</t>
  </si>
  <si>
    <t>Aktivnost  xxxxxx SECAP i strategija zelene urbane obnove</t>
  </si>
  <si>
    <t>KP novo Rekonstrukcija pješačke staze u Dravskoj ulici</t>
  </si>
  <si>
    <t>od dodatne grupe )</t>
  </si>
  <si>
    <t>krpanje 55.000</t>
  </si>
  <si>
    <t>šodrenje 12.000</t>
  </si>
  <si>
    <t>bitumeniz 90.000</t>
  </si>
  <si>
    <t>KP Uređenje križanja ulice Trg slobode i P.Predadovića izradom horizontalnog usporivača</t>
  </si>
  <si>
    <t xml:space="preserve">Kapitalni projekt Brižne ruke Podravske </t>
  </si>
  <si>
    <t>Prihod od zakupa poljop.zemljišta</t>
  </si>
  <si>
    <t>Članak 1.</t>
  </si>
  <si>
    <t>Članak 2.</t>
  </si>
  <si>
    <t>UKUPNO PRIHODI</t>
  </si>
  <si>
    <t>UKUPNO RASHODI</t>
  </si>
  <si>
    <t>Članak 3.</t>
  </si>
  <si>
    <t>Članak 4.</t>
  </si>
  <si>
    <t>ZAVRŠNA ODREDBA</t>
  </si>
  <si>
    <t>Program 1022: Sufinanciranje vjerskih zajednica</t>
  </si>
  <si>
    <t xml:space="preserve">Funkcijska klasifikacija 093 Srednjoškolsko obrazovanje </t>
  </si>
  <si>
    <t xml:space="preserve">Aktivnost A100002 Općinsko vijeće i radna tijela Općinskog vijeća </t>
  </si>
  <si>
    <t xml:space="preserve">Aktivnost A100001 Općinski načelnik </t>
  </si>
  <si>
    <t>Aktivnost A100201 Redovni rad Jedinstvenog upravnog odjela</t>
  </si>
  <si>
    <t>Aktivnost A100202 Financije</t>
  </si>
  <si>
    <t>Aktivnost A100205 Nabava opreme i namještaja</t>
  </si>
  <si>
    <t xml:space="preserve">Kapitalni projekt KP100301 Sufinanciranje ŽUC </t>
  </si>
  <si>
    <t xml:space="preserve">Aktivnost A100401 Redovni rad osoba na javnim radovima </t>
  </si>
  <si>
    <t>Aktivnost A100601 Subvencije u turizmu</t>
  </si>
  <si>
    <t>Program 1007: Održavanje komunalne infrastrukture</t>
  </si>
  <si>
    <t>Aktivnost A100702 Održavanje čistoće javnih površina</t>
  </si>
  <si>
    <t xml:space="preserve">Aktivnost A100703 Održavanje javnih zelenih površina </t>
  </si>
  <si>
    <t>Aktivnost A100704 Održavanje građevina, uređaja i predmeta javne namjene</t>
  </si>
  <si>
    <t>Aktivnost A100705 Održavanje groblja</t>
  </si>
  <si>
    <t xml:space="preserve">Aktivnost A100706 Održavanje građevina javne odvodnje oborinskih voda </t>
  </si>
  <si>
    <t xml:space="preserve">Aktivnost A100707 Tekuće održavanje mreže javne rasvjete </t>
  </si>
  <si>
    <t xml:space="preserve">Kapitalni projekt KP100801 Uređenje parka na Trgu slobode </t>
  </si>
  <si>
    <t xml:space="preserve">Kapitalni projekt KP100802 Rekonstrukcija </t>
  </si>
  <si>
    <t>Kapitalni projekt KP100803 Rekonstrukcija pješačke staze u Dravskoj ulici</t>
  </si>
  <si>
    <t>Kapitalni projekt KP100805 Izgradnja dijela nerazvrstane ceste, naselje Brodić NC 24</t>
  </si>
  <si>
    <t>Kapitalni projekt KP100806 Uređenje groblja izgradnjom staze i ugradnjom solarne rasvjete</t>
  </si>
  <si>
    <t>Kapitalni projekt KP100901 Izgradnja sekundarnog</t>
  </si>
  <si>
    <t>Aktivnost A101001 Zaštita i uređenje okoliša</t>
  </si>
  <si>
    <t>Aktivnost A101002 Održavanje zatvorenog i saniranog odlagališta otpada Orl</t>
  </si>
  <si>
    <t>Kapitalni projekt KP101003 Nabava opreme za zaštitu okoliša</t>
  </si>
  <si>
    <t>Aktivnost A101101 Veterinarske usluge</t>
  </si>
  <si>
    <t xml:space="preserve">Kapitalni projekt KP101201 Izgradnja spremišta komunalne opreme </t>
  </si>
  <si>
    <t>Aktivnost A101202 Kapitalna i tekuća ulaganja u prijevozna sredstva u riječnom prometu</t>
  </si>
  <si>
    <t xml:space="preserve">Aktivnost  A101203 Održavanje građ. objekata u vlasništvu Općine </t>
  </si>
  <si>
    <t>Kapitalni projekt KP101204  Rekonstrukcija i dodatna ulaganja na dječjem vrtiću Košutica Ferdinandovac</t>
  </si>
  <si>
    <t>Kapitalni projekt KP101205 Rekonstrukcija i dodatna ulaganja na građevinskim objektima</t>
  </si>
  <si>
    <t>Kapitalni projekt KP101301 Izgradnja i održavanje turističke infrastrukture</t>
  </si>
  <si>
    <t>Aktivnost A101401 Redovni rad DV "Košutica"</t>
  </si>
  <si>
    <t xml:space="preserve">Aktivnost A101501 Unaprjeđenje nastave u </t>
  </si>
  <si>
    <t>Aktivnost A101502 Sufinanciranje nabave školske opreme</t>
  </si>
  <si>
    <t xml:space="preserve">Aktivnost A101601 Novčana pomoć  učenicima </t>
  </si>
  <si>
    <t>Aktivnost A101701 Studentske stipendije</t>
  </si>
  <si>
    <t>Aktivnost A101801 Sufinanciranje rada vatrogasnih zajednica i postrojbi</t>
  </si>
  <si>
    <t>Aktivnost A101901 Sufinanciranje rada civilne zaštite i HGSS-a</t>
  </si>
  <si>
    <t xml:space="preserve">Aktivnost A102001 Sufinanciranje programa </t>
  </si>
  <si>
    <t xml:space="preserve">Aktivnost A102101 Sufinanciranje udruga u kulturi  </t>
  </si>
  <si>
    <t>Aktivnost A102201 Sufinanciranje župe i župnog ureda</t>
  </si>
  <si>
    <t>Aktivnost A102301 Pomoć obiteljima</t>
  </si>
  <si>
    <t>Aktivnost A102302 Pokloni djeci za blagdane</t>
  </si>
  <si>
    <t>Aktivnost A102303 Brižne ruke Podravske</t>
  </si>
  <si>
    <t>Aktivnost A102401 Sufinanciranje udruga i društava</t>
  </si>
  <si>
    <t>Aktivnost A102501 Sufinanciranje zdravstvenih usluga</t>
  </si>
  <si>
    <t>Aktivnost A102601 Sufinanciranje projekata</t>
  </si>
  <si>
    <t>Aktivnost A100204 SECAP i strategija urbane zelene površine</t>
  </si>
  <si>
    <t>045 Cestovni promet</t>
  </si>
  <si>
    <t>105 Nezaposlenost</t>
  </si>
  <si>
    <t>Funkcijska klasifikacija 105 Nezaposlenost</t>
  </si>
  <si>
    <t>062 Razvoj zajednice</t>
  </si>
  <si>
    <t>056 Poslovi i usluge zaštite okoliša koji nisu drugdje svrstani</t>
  </si>
  <si>
    <t>064 Ulična rasvjeta</t>
  </si>
  <si>
    <t>063 Opskrba vodom</t>
  </si>
  <si>
    <t>051 Gospodarenje otpadom</t>
  </si>
  <si>
    <t xml:space="preserve">066 Rashodi za stanovanje i kom. pogodnosti koji nisu drugdje svrstani </t>
  </si>
  <si>
    <t xml:space="preserve">032 Usluge protupožarne zaštite </t>
  </si>
  <si>
    <t>022 Civilna obrana</t>
  </si>
  <si>
    <t>081 Službe rekreacije i sporta</t>
  </si>
  <si>
    <t xml:space="preserve">082 Službe kulture </t>
  </si>
  <si>
    <t>084 Religijska i druge službe zajednice</t>
  </si>
  <si>
    <t xml:space="preserve">104 Obitelj i djeca </t>
  </si>
  <si>
    <t>102 Starost</t>
  </si>
  <si>
    <t xml:space="preserve">107 Socijalna pomoć stanovništvu koje nije obuhvaćeno redovnim socijalnim programima </t>
  </si>
  <si>
    <t xml:space="preserve">072 Službe za vanjske pacijente </t>
  </si>
  <si>
    <t xml:space="preserve">086 Rashodi za rekreaciju, kulturu i religiju koji nisu drugdje svrstani </t>
  </si>
  <si>
    <t>Izvor financiranja: 05 - Pomoći (DP)</t>
  </si>
  <si>
    <t>Izvor financiranja: 04 - Prihod za posebne namjene (grobna naknada)</t>
  </si>
  <si>
    <t>Izvor financiranja: 05 - Pomoći (HZZ)</t>
  </si>
  <si>
    <t>Izvor financiranja: 05 - Pomoći (KC-KŽ županija)</t>
  </si>
  <si>
    <t>Izvor financiranja: 04 - Prihod za posebne namjene (Komunalna naknada)</t>
  </si>
  <si>
    <t>Izvor financiranja: 04 - Prihod za posebne namjene (Šumski doprinos)</t>
  </si>
  <si>
    <t>Izvor financiranja: 04 - Prihod za posebne namjene (Koncesije)</t>
  </si>
  <si>
    <t>Izvor financiranja: 04 - Prihod za posebne namjene (Komunalni doprinos)</t>
  </si>
  <si>
    <t>Izvor financiranja: 04 - Prihod za posebne namjene (Vodni doprinos)</t>
  </si>
  <si>
    <t>Izvor financiranja: 04 - Prihod za posebne namjene (zakup dr. zemlje)</t>
  </si>
  <si>
    <t>Izvor financiranja: 04 - Prihod za posebne namjene (prenamjena zemljišta)</t>
  </si>
  <si>
    <t>logoped</t>
  </si>
  <si>
    <t>Povećanje / smanjenje</t>
  </si>
  <si>
    <t xml:space="preserve">Novi plan 1. izmjene </t>
  </si>
  <si>
    <t xml:space="preserve">rezervacija </t>
  </si>
  <si>
    <t>Pomoći iz DP-vrtić  UREĐENJE min.reg razvoja</t>
  </si>
  <si>
    <t>MJESEČNO CCA 6960 DOBIMO</t>
  </si>
  <si>
    <t>280*12 grobna i kom</t>
  </si>
  <si>
    <t>migracije</t>
  </si>
  <si>
    <t>odr.weba</t>
  </si>
  <si>
    <t xml:space="preserve">1 na 6 mj </t>
  </si>
  <si>
    <t>840*6</t>
  </si>
  <si>
    <t>20*6</t>
  </si>
  <si>
    <t>šokec 12000</t>
  </si>
  <si>
    <t xml:space="preserve">Novi plan Proračuna za 2024. godinu </t>
  </si>
  <si>
    <t xml:space="preserve">     Primici i izdaci utvrđeni u B. Računu financiranja, mijenjaju se kako slijedi:</t>
  </si>
  <si>
    <t>OPĆINSKO VIJEĆE</t>
  </si>
  <si>
    <t xml:space="preserve">OPĆINE FERDINANDOVAC </t>
  </si>
  <si>
    <t xml:space="preserve">Branko Patačko </t>
  </si>
  <si>
    <t>Izvršenje do 10.06.</t>
  </si>
  <si>
    <t>rea fotonap.</t>
  </si>
  <si>
    <t>OSTALI PRIHODI</t>
  </si>
  <si>
    <t>Izvršenje do 31.05.24.</t>
  </si>
  <si>
    <t>zatezne kamate</t>
  </si>
  <si>
    <t xml:space="preserve">Materijal za tekuće održavanje </t>
  </si>
  <si>
    <t xml:space="preserve">  i plin </t>
  </si>
  <si>
    <t>OSTALE PRISTOJBE hrt</t>
  </si>
  <si>
    <t>Sufinanciranje odvoza otpada</t>
  </si>
  <si>
    <t xml:space="preserve">Aktivnost: 100702 Održavanje čistoće javnih površina </t>
  </si>
  <si>
    <t xml:space="preserve">objektima Vrtić Košutica </t>
  </si>
  <si>
    <t xml:space="preserve">Kapitalni projekt 101204: Rekonstrukcija i dodatna ulaganja na građevinskim </t>
  </si>
  <si>
    <t>Aktivnost A100703: Održavanje javnih zelenih površina</t>
  </si>
  <si>
    <t>ostali mat. Tek održavanja j.p.</t>
  </si>
  <si>
    <t>Aktivnost A100704: Održavanje građevina, uređaja i predmeta javne namjene</t>
  </si>
  <si>
    <t xml:space="preserve">KP 100805 Izgradnja dijela nerazvrstane ceste, naselje Brodić NC 24 </t>
  </si>
  <si>
    <t>KP 100806 Uređenje groblja izgradnjom staze i ugradnjom solarne rasvjete</t>
  </si>
  <si>
    <t xml:space="preserve">Procjena prodaje ošasne imovine -ugovor o djelu bude </t>
  </si>
  <si>
    <t>190*12</t>
  </si>
  <si>
    <t>550 mjesečno</t>
  </si>
  <si>
    <t>Demografija fiskalna održivost vrtića</t>
  </si>
  <si>
    <t>DP (MIN.)-staza Dravska</t>
  </si>
  <si>
    <t xml:space="preserve">paušal prevoz </t>
  </si>
  <si>
    <t>osiguranje</t>
  </si>
  <si>
    <t xml:space="preserve">centralno pavlanci </t>
  </si>
  <si>
    <t xml:space="preserve">novi troškovnik </t>
  </si>
  <si>
    <t xml:space="preserve">pol godine </t>
  </si>
  <si>
    <t xml:space="preserve">ošasna dug </t>
  </si>
  <si>
    <t>naknada šteta oštećena vozila</t>
  </si>
  <si>
    <t>KAZNE, PENALI I NAKNADE ŠTETE</t>
  </si>
  <si>
    <t>helena 10%ne treba jer je na više meseci plan budu 6 delale meseci</t>
  </si>
  <si>
    <t>Plaće za zaposlene žene</t>
  </si>
  <si>
    <t>7 NA 12 MESECI i helena 10%</t>
  </si>
  <si>
    <t xml:space="preserve">za uravnoteženje još treba </t>
  </si>
  <si>
    <t xml:space="preserve">viškovi </t>
  </si>
  <si>
    <t xml:space="preserve">još nedostaje </t>
  </si>
  <si>
    <t xml:space="preserve">DP za školu glazbala i rad voditelja tamburaša </t>
  </si>
  <si>
    <t>Pomoći iz DP min znanosti -za Dječji vrtić</t>
  </si>
  <si>
    <t>naša glazbala koristi ih škola</t>
  </si>
  <si>
    <t xml:space="preserve">RASHODI ZA NABAVU PROIZV. DUG. IMOVINE </t>
  </si>
  <si>
    <t xml:space="preserve">GLAZBALA </t>
  </si>
  <si>
    <t xml:space="preserve">NOVO POVEĆANJE ZA VODITELJA TAMBURAŠA MIN ZNANOSTI NAŠ PRIHOD </t>
  </si>
  <si>
    <t>ŠTAKORI I KOMARCI</t>
  </si>
  <si>
    <t>1. izmjene</t>
  </si>
  <si>
    <t xml:space="preserve">Ostali rashodi </t>
  </si>
  <si>
    <t>Koprivničko - križevačke županije ".</t>
  </si>
  <si>
    <t>PREDSJEDNIK:</t>
  </si>
  <si>
    <t xml:space="preserve">PRIHODI OD UPRAVNIH I ADMINISTRATIVNIH </t>
  </si>
  <si>
    <t xml:space="preserve">PRISTOJBI, POSEBNIM PROPISIMA I NAKNADA </t>
  </si>
  <si>
    <t>projektna 6250</t>
  </si>
  <si>
    <t>nadzor 1700</t>
  </si>
  <si>
    <t>proj 400</t>
  </si>
  <si>
    <t>BETAPROM 61 000 UGOVOR radovi 65.900,00</t>
  </si>
  <si>
    <t>projekt 6250</t>
  </si>
  <si>
    <t>vodni 150</t>
  </si>
  <si>
    <t>dodatna ulaganja na građ. objektima</t>
  </si>
  <si>
    <t xml:space="preserve">       U članku 2. Prihodi i rashodi te primici i izdaci po ekonomskoj klasifikaciji utvrđeni u A) Računu prihoda i rashoda i B) Računu financiranja </t>
  </si>
  <si>
    <t>mijenjaju se u A) Računu prihoda i rashoda i B) Računu financiranja, kako slijedi:</t>
  </si>
  <si>
    <t xml:space="preserve">       U Računu prihoda i rashoda iskazani su prihodi poslovanja i prihodi od prodaje nefinancijske imovine te rashodi poslovanja i rashodi za nabavu</t>
  </si>
  <si>
    <t>nefinancijske imovine prema ekonomskoj klasifikaciji i prema izvorima financiranja.</t>
  </si>
  <si>
    <t xml:space="preserve">     Rashodi prema funkcijskoj klasifikaciji, mijenjaju se kako slijedi:</t>
  </si>
  <si>
    <t xml:space="preserve">     U računu financiranja iskazani su primici i izdaci prema ekonomskoj klasifikaciji i prema izvorima financiranja.</t>
  </si>
  <si>
    <t>Kamate ovrhe</t>
  </si>
  <si>
    <t xml:space="preserve">Ostali nespomenuti </t>
  </si>
  <si>
    <t>Kap. Pomoć EU rea fotonap.</t>
  </si>
  <si>
    <t>Zaželi 4</t>
  </si>
  <si>
    <t xml:space="preserve">skela tehnički pregled, osiguranja </t>
  </si>
  <si>
    <t xml:space="preserve">Zvijezda škole </t>
  </si>
  <si>
    <t xml:space="preserve">prometna edukacija djece i škola plivanja </t>
  </si>
  <si>
    <t>Izvršenje do 15.09.</t>
  </si>
  <si>
    <t>Novi plan 2. Izmjene</t>
  </si>
  <si>
    <t xml:space="preserve">Novi plan 2. izmjene </t>
  </si>
  <si>
    <t>Plan 2024 1. izmjene</t>
  </si>
  <si>
    <t>skela tehnički pregled, osiguranja, polj. I kom. Redar</t>
  </si>
  <si>
    <t xml:space="preserve">Žuc pješakče staze </t>
  </si>
  <si>
    <t xml:space="preserve">Pomoći iz DP-vrtić  UREĐENJE min.reg razvoja </t>
  </si>
  <si>
    <t xml:space="preserve">cca 30000,00 mjesečno </t>
  </si>
  <si>
    <t xml:space="preserve">DP-izbori samo predsjednički </t>
  </si>
  <si>
    <t xml:space="preserve">Ostale pristojbe grobno ,mjesto </t>
  </si>
  <si>
    <t xml:space="preserve">Prihodi od groblja </t>
  </si>
  <si>
    <t>ugovor 83000</t>
  </si>
  <si>
    <t>ugovor 63000</t>
  </si>
  <si>
    <t>novi ugovor 64000</t>
  </si>
  <si>
    <t xml:space="preserve">ugovor o djelu tamburaš </t>
  </si>
  <si>
    <t>Rashodi protokola</t>
  </si>
  <si>
    <t xml:space="preserve">Naknade šteta </t>
  </si>
  <si>
    <t>Izvršenje do 17.09.</t>
  </si>
  <si>
    <t>Povećanje/smanjenje</t>
  </si>
  <si>
    <t>Novi plan 2. izmjene</t>
  </si>
  <si>
    <t>Ostale pristojbe grobno mjesto</t>
  </si>
  <si>
    <t xml:space="preserve">ugovor </t>
  </si>
  <si>
    <t xml:space="preserve">žuc pješačka staza </t>
  </si>
  <si>
    <t>ugovor</t>
  </si>
  <si>
    <t>rashodi</t>
  </si>
  <si>
    <t xml:space="preserve">1 do 6 </t>
  </si>
  <si>
    <t>7 do 9</t>
  </si>
  <si>
    <t>10 do 12</t>
  </si>
  <si>
    <t xml:space="preserve">po novom </t>
  </si>
  <si>
    <t xml:space="preserve">75 bruto od rujna </t>
  </si>
  <si>
    <t xml:space="preserve">2 izmjene </t>
  </si>
  <si>
    <t>KP nova ulica asfaltiranje</t>
  </si>
  <si>
    <t xml:space="preserve">iznos načelnik </t>
  </si>
  <si>
    <t>Izrada (prostorni plan)</t>
  </si>
  <si>
    <t xml:space="preserve">Kapitalne pomoći eu aglomeracija </t>
  </si>
  <si>
    <t xml:space="preserve">klima pavlanci </t>
  </si>
  <si>
    <t>radovi 15</t>
  </si>
  <si>
    <t>projektna 1000</t>
  </si>
  <si>
    <t xml:space="preserve">4 dolaska mesečno </t>
  </si>
  <si>
    <t>vodni 100</t>
  </si>
  <si>
    <t xml:space="preserve">Proračun za 2024. godinu </t>
  </si>
  <si>
    <t>rashoda i izdataka po pojedinim nositeljima, korisnicima i programima kako slijedi:</t>
  </si>
  <si>
    <t>Aktivnost A100003 Predsjednički Izbori</t>
  </si>
  <si>
    <t>Izvor financiranja: 05 - Pomoći (ŽUC)</t>
  </si>
  <si>
    <t>Kapitalni projekt  KP100807 Rekonstrukcija dijela NC u ulici Trepče</t>
  </si>
  <si>
    <t>Kapitalni projekt  KP100808 Rekonstrukcija dijela NC u ulici Petra Preradovića</t>
  </si>
  <si>
    <t>Izvor financiranja: 05 - Pomoći (KC-KŽ)</t>
  </si>
  <si>
    <t>Izvor financiranja: 04 - Prihod za posebne namjene (šumski doprinos)</t>
  </si>
  <si>
    <t>Aktivnost A100701 Održavanje  nerazvrstanih cesta</t>
  </si>
  <si>
    <t>Aktivnost A100501 Poticanje poljoprivredne proizvodnje i stočarstva</t>
  </si>
  <si>
    <t xml:space="preserve">              (u daljnjem tekstu: Proračun),  u članku 1. mijenjaju se:A. Račun prihoda i rashoda, B. Račun financiranja, C. Preneseni višak ili manjak i D. Višegodišnji plan uravnoteženja, kako slijedi:</t>
  </si>
  <si>
    <t>Trepče 100807</t>
  </si>
  <si>
    <t>uređenje stomatološke</t>
  </si>
  <si>
    <t>rad 82800</t>
  </si>
  <si>
    <t>III. IZMJENE I DOPUNE PRORAČUNA OPĆINE FERDINANDOVAC ZA 2024. I PROJEKCIJA ZA 2025. I 2026. GODINU</t>
  </si>
  <si>
    <t xml:space="preserve">           Ove III. Izmjene i dopune Proračuna stupaju na snagu prvog dana od dana objave u "Službenom glasniku </t>
  </si>
  <si>
    <t>Novi plan 3. izmjene</t>
  </si>
  <si>
    <t>Program 02: srednjškolsko</t>
  </si>
  <si>
    <t>nadzor  1450plan ugovor 2000</t>
  </si>
  <si>
    <t>povećanje/smanjenje</t>
  </si>
  <si>
    <t xml:space="preserve">3 Izmjene </t>
  </si>
  <si>
    <t>izvršenje 20.11.24.</t>
  </si>
  <si>
    <t xml:space="preserve">      U Proračunu Općine Ferdinandovac za 2024. godinu i projekcijama za 2025. i 2026. godinu ("Službeni glasnik Koprivničko - križevačke županije" broj 28/23, 14/24. i 21/24)</t>
  </si>
  <si>
    <t>refundacija osiguranja i ost. Prihodi</t>
  </si>
  <si>
    <t xml:space="preserve"> predsjednički 1 krug</t>
  </si>
  <si>
    <t>Izvršenje 20.11.24.</t>
  </si>
  <si>
    <t>ugovor 33000</t>
  </si>
  <si>
    <t>ugovor 62600</t>
  </si>
  <si>
    <t>ugovor 23700</t>
  </si>
  <si>
    <t xml:space="preserve">Aktivnost A0   prigodno ukrašavanje </t>
  </si>
  <si>
    <t>Usluge tekućeg održavanja</t>
  </si>
  <si>
    <t>prihodi</t>
  </si>
  <si>
    <t xml:space="preserve">razlika </t>
  </si>
  <si>
    <t>ukupni prihod</t>
  </si>
  <si>
    <t>ukupni rashod</t>
  </si>
  <si>
    <t>vino</t>
  </si>
  <si>
    <t>KP nova ulica asfaltiranje P.Preradovića 100808</t>
  </si>
  <si>
    <t xml:space="preserve">vrapčecvić parking dravska i međo most tuižba </t>
  </si>
  <si>
    <t>Aktivnost A100206 Prigodno ukrašavanje</t>
  </si>
  <si>
    <t xml:space="preserve">3225 sitni inventar glazbala </t>
  </si>
  <si>
    <t xml:space="preserve">Aktivnost A100203  Izrada dokumentacije </t>
  </si>
  <si>
    <t xml:space="preserve">        U članku 3. brojka "2.097.990,11" zamijenjuje se brojkom "1.645.475,11"  te se provode III. Izmjene i dopune </t>
  </si>
  <si>
    <t>KLASA: 400-05/23-01/2</t>
  </si>
  <si>
    <t xml:space="preserve">           Na temelju članka 45. Zakona o proračunu ("Narodne novine 144/21") i članka 31. Statuta Općine Ferdinandovac ("Službeni glasnik Koprivničko-križevačke županije" broj: 6/13, 1/18, 5/20. i 4/21),                               Općinsko vijeće Općine Ferdinandovac na 40. sjednici održanoj 5. prosinca 2024. godine donijelo je</t>
  </si>
  <si>
    <t>Ferdinandovac, 5. prosinca 2024.</t>
  </si>
  <si>
    <t>URBROJ: 2137-15-24-10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</si>
</sst>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i/>
      <u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80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center" wrapText="1"/>
    </xf>
    <xf numFmtId="4" fontId="0" fillId="0" borderId="3" xfId="0" applyNumberFormat="1" applyBorder="1"/>
    <xf numFmtId="0" fontId="13" fillId="6" borderId="3" xfId="0" applyFont="1" applyFill="1" applyBorder="1"/>
    <xf numFmtId="0" fontId="8" fillId="7" borderId="1" xfId="0" applyFont="1" applyFill="1" applyBorder="1" applyAlignment="1">
      <alignment horizontal="left"/>
    </xf>
    <xf numFmtId="0" fontId="8" fillId="7" borderId="3" xfId="0" applyFont="1" applyFill="1" applyBorder="1"/>
    <xf numFmtId="0" fontId="8" fillId="7" borderId="3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1" xfId="0" applyFont="1" applyFill="1" applyBorder="1"/>
    <xf numFmtId="4" fontId="0" fillId="0" borderId="3" xfId="0" applyNumberFormat="1" applyBorder="1" applyAlignment="1">
      <alignment horizontal="right"/>
    </xf>
    <xf numFmtId="4" fontId="8" fillId="7" borderId="3" xfId="0" applyNumberFormat="1" applyFont="1" applyFill="1" applyBorder="1" applyAlignment="1">
      <alignment horizontal="right"/>
    </xf>
    <xf numFmtId="4" fontId="8" fillId="7" borderId="3" xfId="0" applyNumberFormat="1" applyFont="1" applyFill="1" applyBorder="1" applyAlignment="1">
      <alignment horizontal="right" shrinkToFit="1"/>
    </xf>
    <xf numFmtId="4" fontId="8" fillId="7" borderId="1" xfId="0" applyNumberFormat="1" applyFont="1" applyFill="1" applyBorder="1"/>
    <xf numFmtId="4" fontId="6" fillId="3" borderId="4" xfId="0" applyNumberFormat="1" applyFont="1" applyFill="1" applyBorder="1" applyAlignment="1">
      <alignment horizontal="right" shrinkToFit="1"/>
    </xf>
    <xf numFmtId="4" fontId="6" fillId="3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0" fillId="7" borderId="3" xfId="0" applyNumberFormat="1" applyFill="1" applyBorder="1" applyAlignment="1">
      <alignment horizontal="right"/>
    </xf>
    <xf numFmtId="4" fontId="15" fillId="8" borderId="3" xfId="0" applyNumberFormat="1" applyFont="1" applyFill="1" applyBorder="1"/>
    <xf numFmtId="4" fontId="13" fillId="8" borderId="3" xfId="0" applyNumberFormat="1" applyFont="1" applyFill="1" applyBorder="1" applyAlignment="1">
      <alignment horizontal="right" shrinkToFit="1"/>
    </xf>
    <xf numFmtId="4" fontId="13" fillId="8" borderId="3" xfId="0" applyNumberFormat="1" applyFont="1" applyFill="1" applyBorder="1" applyAlignment="1">
      <alignment horizontal="right"/>
    </xf>
    <xf numFmtId="4" fontId="15" fillId="8" borderId="3" xfId="0" applyNumberFormat="1" applyFont="1" applyFill="1" applyBorder="1" applyAlignment="1">
      <alignment horizontal="right"/>
    </xf>
    <xf numFmtId="4" fontId="1" fillId="8" borderId="3" xfId="0" applyNumberFormat="1" applyFont="1" applyFill="1" applyBorder="1"/>
    <xf numFmtId="4" fontId="9" fillId="8" borderId="3" xfId="0" applyNumberFormat="1" applyFont="1" applyFill="1" applyBorder="1" applyAlignment="1">
      <alignment horizontal="right"/>
    </xf>
    <xf numFmtId="4" fontId="13" fillId="8" borderId="1" xfId="0" applyNumberFormat="1" applyFont="1" applyFill="1" applyBorder="1"/>
    <xf numFmtId="4" fontId="13" fillId="8" borderId="3" xfId="0" applyNumberFormat="1" applyFont="1" applyFill="1" applyBorder="1"/>
    <xf numFmtId="0" fontId="9" fillId="8" borderId="3" xfId="0" applyFont="1" applyFill="1" applyBorder="1"/>
    <xf numFmtId="4" fontId="9" fillId="8" borderId="3" xfId="0" applyNumberFormat="1" applyFont="1" applyFill="1" applyBorder="1" applyAlignment="1">
      <alignment horizontal="right" shrinkToFit="1"/>
    </xf>
    <xf numFmtId="0" fontId="13" fillId="9" borderId="3" xfId="0" applyFont="1" applyFill="1" applyBorder="1" applyAlignment="1">
      <alignment horizontal="left"/>
    </xf>
    <xf numFmtId="4" fontId="13" fillId="9" borderId="3" xfId="0" applyNumberFormat="1" applyFont="1" applyFill="1" applyBorder="1" applyAlignment="1">
      <alignment horizontal="right"/>
    </xf>
    <xf numFmtId="0" fontId="13" fillId="9" borderId="3" xfId="0" applyFont="1" applyFill="1" applyBorder="1"/>
    <xf numFmtId="4" fontId="1" fillId="9" borderId="3" xfId="0" applyNumberFormat="1" applyFont="1" applyFill="1" applyBorder="1" applyAlignment="1">
      <alignment horizontal="right"/>
    </xf>
    <xf numFmtId="4" fontId="13" fillId="9" borderId="3" xfId="0" applyNumberFormat="1" applyFont="1" applyFill="1" applyBorder="1" applyAlignment="1">
      <alignment horizontal="right" shrinkToFit="1"/>
    </xf>
    <xf numFmtId="4" fontId="13" fillId="9" borderId="3" xfId="0" applyNumberFormat="1" applyFont="1" applyFill="1" applyBorder="1"/>
    <xf numFmtId="0" fontId="13" fillId="9" borderId="6" xfId="0" applyFont="1" applyFill="1" applyBorder="1"/>
    <xf numFmtId="0" fontId="13" fillId="9" borderId="5" xfId="0" applyFont="1" applyFill="1" applyBorder="1"/>
    <xf numFmtId="4" fontId="13" fillId="9" borderId="1" xfId="0" applyNumberFormat="1" applyFont="1" applyFill="1" applyBorder="1"/>
    <xf numFmtId="0" fontId="9" fillId="9" borderId="3" xfId="0" applyFont="1" applyFill="1" applyBorder="1" applyAlignment="1">
      <alignment horizontal="left"/>
    </xf>
    <xf numFmtId="4" fontId="9" fillId="9" borderId="3" xfId="0" applyNumberFormat="1" applyFont="1" applyFill="1" applyBorder="1" applyAlignment="1">
      <alignment horizontal="right"/>
    </xf>
    <xf numFmtId="4" fontId="13" fillId="9" borderId="4" xfId="0" applyNumberFormat="1" applyFont="1" applyFill="1" applyBorder="1" applyAlignment="1">
      <alignment horizontal="right"/>
    </xf>
    <xf numFmtId="0" fontId="13" fillId="10" borderId="3" xfId="0" applyFont="1" applyFill="1" applyBorder="1"/>
    <xf numFmtId="0" fontId="0" fillId="10" borderId="3" xfId="0" applyFill="1" applyBorder="1"/>
    <xf numFmtId="4" fontId="0" fillId="10" borderId="3" xfId="0" applyNumberFormat="1" applyFill="1" applyBorder="1" applyAlignment="1">
      <alignment horizontal="right"/>
    </xf>
    <xf numFmtId="4" fontId="13" fillId="11" borderId="3" xfId="0" applyNumberFormat="1" applyFont="1" applyFill="1" applyBorder="1" applyAlignment="1">
      <alignment horizontal="right" shrinkToFit="1"/>
    </xf>
    <xf numFmtId="0" fontId="13" fillId="11" borderId="3" xfId="0" applyFont="1" applyFill="1" applyBorder="1"/>
    <xf numFmtId="4" fontId="13" fillId="11" borderId="3" xfId="0" applyNumberFormat="1" applyFont="1" applyFill="1" applyBorder="1"/>
    <xf numFmtId="0" fontId="9" fillId="11" borderId="7" xfId="0" applyFont="1" applyFill="1" applyBorder="1"/>
    <xf numFmtId="0" fontId="13" fillId="11" borderId="7" xfId="0" applyFont="1" applyFill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/>
    <xf numFmtId="0" fontId="13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shrinkToFit="1"/>
    </xf>
    <xf numFmtId="4" fontId="13" fillId="0" borderId="0" xfId="0" applyNumberFormat="1" applyFont="1"/>
    <xf numFmtId="4" fontId="7" fillId="0" borderId="0" xfId="0" applyNumberFormat="1" applyFont="1"/>
    <xf numFmtId="0" fontId="8" fillId="0" borderId="3" xfId="0" applyFont="1" applyBorder="1"/>
    <xf numFmtId="4" fontId="8" fillId="0" borderId="3" xfId="0" applyNumberFormat="1" applyFont="1" applyBorder="1"/>
    <xf numFmtId="0" fontId="8" fillId="0" borderId="1" xfId="0" applyFont="1" applyBorder="1"/>
    <xf numFmtId="0" fontId="8" fillId="0" borderId="4" xfId="0" applyFont="1" applyBorder="1"/>
    <xf numFmtId="0" fontId="8" fillId="2" borderId="3" xfId="0" applyFont="1" applyFill="1" applyBorder="1"/>
    <xf numFmtId="0" fontId="8" fillId="0" borderId="2" xfId="0" applyFont="1" applyBorder="1"/>
    <xf numFmtId="4" fontId="8" fillId="0" borderId="0" xfId="0" applyNumberFormat="1" applyFont="1"/>
    <xf numFmtId="0" fontId="8" fillId="0" borderId="5" xfId="0" applyFont="1" applyBorder="1"/>
    <xf numFmtId="4" fontId="9" fillId="0" borderId="3" xfId="0" applyNumberFormat="1" applyFont="1" applyBorder="1"/>
    <xf numFmtId="0" fontId="16" fillId="0" borderId="0" xfId="0" applyFont="1"/>
    <xf numFmtId="0" fontId="9" fillId="6" borderId="3" xfId="0" applyFont="1" applyFill="1" applyBorder="1"/>
    <xf numFmtId="4" fontId="9" fillId="6" borderId="3" xfId="0" applyNumberFormat="1" applyFont="1" applyFill="1" applyBorder="1"/>
    <xf numFmtId="4" fontId="9" fillId="0" borderId="0" xfId="0" applyNumberFormat="1" applyFont="1"/>
    <xf numFmtId="0" fontId="8" fillId="2" borderId="0" xfId="0" applyFont="1" applyFill="1"/>
    <xf numFmtId="4" fontId="8" fillId="2" borderId="0" xfId="0" applyNumberFormat="1" applyFont="1" applyFill="1"/>
    <xf numFmtId="0" fontId="9" fillId="6" borderId="7" xfId="0" applyFont="1" applyFill="1" applyBorder="1"/>
    <xf numFmtId="0" fontId="9" fillId="6" borderId="11" xfId="0" applyFont="1" applyFill="1" applyBorder="1"/>
    <xf numFmtId="0" fontId="9" fillId="6" borderId="6" xfId="0" applyFont="1" applyFill="1" applyBorder="1"/>
    <xf numFmtId="2" fontId="6" fillId="0" borderId="3" xfId="0" applyNumberFormat="1" applyFont="1" applyBorder="1" applyAlignment="1">
      <alignment horizontal="center" vertical="center" wrapText="1"/>
    </xf>
    <xf numFmtId="0" fontId="16" fillId="12" borderId="3" xfId="0" applyFont="1" applyFill="1" applyBorder="1"/>
    <xf numFmtId="4" fontId="16" fillId="12" borderId="3" xfId="0" applyNumberFormat="1" applyFont="1" applyFill="1" applyBorder="1"/>
    <xf numFmtId="0" fontId="6" fillId="13" borderId="3" xfId="0" applyFont="1" applyFill="1" applyBorder="1"/>
    <xf numFmtId="4" fontId="6" fillId="13" borderId="3" xfId="0" applyNumberFormat="1" applyFont="1" applyFill="1" applyBorder="1"/>
    <xf numFmtId="0" fontId="13" fillId="14" borderId="3" xfId="0" applyFont="1" applyFill="1" applyBorder="1"/>
    <xf numFmtId="4" fontId="9" fillId="14" borderId="3" xfId="0" applyNumberFormat="1" applyFont="1" applyFill="1" applyBorder="1"/>
    <xf numFmtId="0" fontId="13" fillId="15" borderId="3" xfId="0" applyFont="1" applyFill="1" applyBorder="1"/>
    <xf numFmtId="0" fontId="0" fillId="15" borderId="3" xfId="0" applyFill="1" applyBorder="1"/>
    <xf numFmtId="4" fontId="9" fillId="15" borderId="3" xfId="0" applyNumberFormat="1" applyFont="1" applyFill="1" applyBorder="1"/>
    <xf numFmtId="0" fontId="13" fillId="0" borderId="13" xfId="0" applyFont="1" applyBorder="1"/>
    <xf numFmtId="4" fontId="9" fillId="0" borderId="14" xfId="0" applyNumberFormat="1" applyFont="1" applyBorder="1"/>
    <xf numFmtId="0" fontId="9" fillId="0" borderId="13" xfId="0" applyFont="1" applyBorder="1"/>
    <xf numFmtId="0" fontId="0" fillId="0" borderId="13" xfId="0" applyBorder="1"/>
    <xf numFmtId="4" fontId="9" fillId="16" borderId="3" xfId="0" applyNumberFormat="1" applyFont="1" applyFill="1" applyBorder="1"/>
    <xf numFmtId="0" fontId="8" fillId="0" borderId="13" xfId="0" applyFont="1" applyBorder="1"/>
    <xf numFmtId="0" fontId="9" fillId="5" borderId="3" xfId="0" applyFont="1" applyFill="1" applyBorder="1"/>
    <xf numFmtId="0" fontId="9" fillId="15" borderId="3" xfId="0" applyFont="1" applyFill="1" applyBorder="1"/>
    <xf numFmtId="4" fontId="17" fillId="13" borderId="3" xfId="0" applyNumberFormat="1" applyFont="1" applyFill="1" applyBorder="1"/>
    <xf numFmtId="4" fontId="8" fillId="5" borderId="3" xfId="0" applyNumberFormat="1" applyFont="1" applyFill="1" applyBorder="1"/>
    <xf numFmtId="0" fontId="9" fillId="15" borderId="7" xfId="0" applyFont="1" applyFill="1" applyBorder="1"/>
    <xf numFmtId="0" fontId="8" fillId="15" borderId="7" xfId="0" applyFont="1" applyFill="1" applyBorder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9" fillId="0" borderId="13" xfId="0" applyFont="1" applyBorder="1" applyAlignment="1">
      <alignment horizontal="right"/>
    </xf>
    <xf numFmtId="0" fontId="8" fillId="15" borderId="3" xfId="0" applyFont="1" applyFill="1" applyBorder="1"/>
    <xf numFmtId="0" fontId="9" fillId="16" borderId="3" xfId="0" applyFont="1" applyFill="1" applyBorder="1"/>
    <xf numFmtId="4" fontId="9" fillId="2" borderId="0" xfId="0" applyNumberFormat="1" applyFont="1" applyFill="1"/>
    <xf numFmtId="4" fontId="9" fillId="2" borderId="14" xfId="0" applyNumberFormat="1" applyFont="1" applyFill="1" applyBorder="1"/>
    <xf numFmtId="4" fontId="13" fillId="14" borderId="3" xfId="0" applyNumberFormat="1" applyFont="1" applyFill="1" applyBorder="1"/>
    <xf numFmtId="0" fontId="13" fillId="14" borderId="7" xfId="0" applyFont="1" applyFill="1" applyBorder="1"/>
    <xf numFmtId="0" fontId="8" fillId="2" borderId="13" xfId="0" applyFont="1" applyFill="1" applyBorder="1"/>
    <xf numFmtId="0" fontId="8" fillId="2" borderId="13" xfId="0" applyFont="1" applyFill="1" applyBorder="1" applyAlignment="1">
      <alignment horizontal="left"/>
    </xf>
    <xf numFmtId="4" fontId="9" fillId="16" borderId="3" xfId="0" applyNumberFormat="1" applyFont="1" applyFill="1" applyBorder="1" applyAlignment="1">
      <alignment horizontal="right"/>
    </xf>
    <xf numFmtId="0" fontId="9" fillId="2" borderId="13" xfId="0" applyFont="1" applyFill="1" applyBorder="1"/>
    <xf numFmtId="0" fontId="13" fillId="2" borderId="13" xfId="0" applyFont="1" applyFill="1" applyBorder="1"/>
    <xf numFmtId="0" fontId="13" fillId="2" borderId="0" xfId="0" applyFont="1" applyFill="1"/>
    <xf numFmtId="4" fontId="14" fillId="2" borderId="0" xfId="0" applyNumberFormat="1" applyFont="1" applyFill="1"/>
    <xf numFmtId="0" fontId="9" fillId="2" borderId="0" xfId="0" applyFont="1" applyFill="1"/>
    <xf numFmtId="0" fontId="9" fillId="6" borderId="5" xfId="0" applyFont="1" applyFill="1" applyBorder="1"/>
    <xf numFmtId="4" fontId="14" fillId="0" borderId="0" xfId="0" applyNumberFormat="1" applyFont="1"/>
    <xf numFmtId="0" fontId="9" fillId="2" borderId="13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left"/>
    </xf>
    <xf numFmtId="4" fontId="13" fillId="6" borderId="3" xfId="0" applyNumberFormat="1" applyFont="1" applyFill="1" applyBorder="1"/>
    <xf numFmtId="4" fontId="8" fillId="10" borderId="3" xfId="0" applyNumberFormat="1" applyFont="1" applyFill="1" applyBorder="1"/>
    <xf numFmtId="0" fontId="0" fillId="2" borderId="0" xfId="0" applyFill="1"/>
    <xf numFmtId="0" fontId="9" fillId="6" borderId="1" xfId="0" applyFont="1" applyFill="1" applyBorder="1"/>
    <xf numFmtId="0" fontId="9" fillId="6" borderId="4" xfId="0" applyFont="1" applyFill="1" applyBorder="1"/>
    <xf numFmtId="4" fontId="18" fillId="0" borderId="0" xfId="0" applyNumberFormat="1" applyFont="1"/>
    <xf numFmtId="0" fontId="9" fillId="17" borderId="7" xfId="0" applyFont="1" applyFill="1" applyBorder="1"/>
    <xf numFmtId="0" fontId="9" fillId="17" borderId="10" xfId="0" applyFont="1" applyFill="1" applyBorder="1"/>
    <xf numFmtId="0" fontId="9" fillId="17" borderId="12" xfId="0" applyFont="1" applyFill="1" applyBorder="1" applyAlignment="1">
      <alignment horizontal="left"/>
    </xf>
    <xf numFmtId="0" fontId="9" fillId="17" borderId="5" xfId="0" applyFont="1" applyFill="1" applyBorder="1" applyAlignment="1">
      <alignment horizontal="left"/>
    </xf>
    <xf numFmtId="0" fontId="9" fillId="17" borderId="3" xfId="0" applyFont="1" applyFill="1" applyBorder="1"/>
    <xf numFmtId="4" fontId="0" fillId="17" borderId="3" xfId="0" applyNumberFormat="1" applyFill="1" applyBorder="1"/>
    <xf numFmtId="0" fontId="9" fillId="17" borderId="1" xfId="0" applyFont="1" applyFill="1" applyBorder="1"/>
    <xf numFmtId="4" fontId="1" fillId="5" borderId="3" xfId="0" applyNumberFormat="1" applyFont="1" applyFill="1" applyBorder="1"/>
    <xf numFmtId="4" fontId="1" fillId="17" borderId="3" xfId="0" applyNumberFormat="1" applyFont="1" applyFill="1" applyBorder="1"/>
    <xf numFmtId="0" fontId="1" fillId="0" borderId="0" xfId="0" applyFont="1"/>
    <xf numFmtId="0" fontId="11" fillId="0" borderId="0" xfId="0" applyFont="1"/>
    <xf numFmtId="0" fontId="20" fillId="0" borderId="0" xfId="0" applyFont="1"/>
    <xf numFmtId="0" fontId="1" fillId="0" borderId="13" xfId="0" applyFont="1" applyBorder="1"/>
    <xf numFmtId="0" fontId="22" fillId="0" borderId="0" xfId="0" applyFont="1"/>
    <xf numFmtId="4" fontId="0" fillId="5" borderId="0" xfId="0" applyNumberFormat="1" applyFill="1"/>
    <xf numFmtId="4" fontId="19" fillId="0" borderId="0" xfId="0" applyNumberFormat="1" applyFont="1"/>
    <xf numFmtId="4" fontId="9" fillId="16" borderId="0" xfId="0" applyNumberFormat="1" applyFont="1" applyFill="1"/>
    <xf numFmtId="4" fontId="19" fillId="2" borderId="0" xfId="0" applyNumberFormat="1" applyFont="1" applyFill="1"/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1" fillId="8" borderId="3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right" shrinkToFit="1"/>
    </xf>
    <xf numFmtId="0" fontId="20" fillId="0" borderId="3" xfId="0" applyFont="1" applyBorder="1" applyAlignment="1">
      <alignment wrapText="1"/>
    </xf>
    <xf numFmtId="4" fontId="19" fillId="7" borderId="7" xfId="0" applyNumberFormat="1" applyFont="1" applyFill="1" applyBorder="1" applyAlignment="1">
      <alignment horizontal="right" shrinkToFit="1"/>
    </xf>
    <xf numFmtId="0" fontId="0" fillId="16" borderId="0" xfId="0" applyFill="1"/>
    <xf numFmtId="0" fontId="10" fillId="0" borderId="0" xfId="0" applyFont="1" applyAlignment="1">
      <alignment wrapText="1"/>
    </xf>
    <xf numFmtId="0" fontId="8" fillId="2" borderId="0" xfId="0" applyFont="1" applyFill="1" applyAlignment="1">
      <alignment horizontal="left" shrinkToFit="1"/>
    </xf>
    <xf numFmtId="0" fontId="8" fillId="16" borderId="13" xfId="0" applyFont="1" applyFill="1" applyBorder="1" applyAlignment="1">
      <alignment horizontal="left"/>
    </xf>
    <xf numFmtId="0" fontId="8" fillId="16" borderId="0" xfId="0" applyFont="1" applyFill="1" applyAlignment="1">
      <alignment horizontal="left"/>
    </xf>
    <xf numFmtId="0" fontId="9" fillId="5" borderId="7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8" fillId="16" borderId="13" xfId="0" applyFont="1" applyFill="1" applyBorder="1"/>
    <xf numFmtId="0" fontId="8" fillId="16" borderId="0" xfId="0" applyFont="1" applyFill="1"/>
    <xf numFmtId="4" fontId="0" fillId="19" borderId="3" xfId="0" applyNumberFormat="1" applyFill="1" applyBorder="1"/>
    <xf numFmtId="0" fontId="9" fillId="6" borderId="3" xfId="0" applyFont="1" applyFill="1" applyBorder="1" applyAlignment="1">
      <alignment horizontal="left"/>
    </xf>
    <xf numFmtId="0" fontId="13" fillId="20" borderId="1" xfId="0" applyFont="1" applyFill="1" applyBorder="1" applyAlignment="1">
      <alignment horizontal="left"/>
    </xf>
    <xf numFmtId="0" fontId="13" fillId="20" borderId="2" xfId="0" applyFont="1" applyFill="1" applyBorder="1" applyAlignment="1">
      <alignment horizontal="left"/>
    </xf>
    <xf numFmtId="0" fontId="13" fillId="20" borderId="4" xfId="0" applyFont="1" applyFill="1" applyBorder="1" applyAlignment="1">
      <alignment horizontal="left"/>
    </xf>
    <xf numFmtId="4" fontId="13" fillId="20" borderId="3" xfId="0" applyNumberFormat="1" applyFont="1" applyFill="1" applyBorder="1" applyAlignment="1">
      <alignment horizontal="right"/>
    </xf>
    <xf numFmtId="4" fontId="13" fillId="20" borderId="3" xfId="0" applyNumberFormat="1" applyFont="1" applyFill="1" applyBorder="1"/>
    <xf numFmtId="0" fontId="13" fillId="20" borderId="2" xfId="0" applyFont="1" applyFill="1" applyBorder="1" applyAlignment="1">
      <alignment horizontal="left" wrapText="1"/>
    </xf>
    <xf numFmtId="0" fontId="13" fillId="20" borderId="5" xfId="0" applyFont="1" applyFill="1" applyBorder="1" applyAlignment="1">
      <alignment horizontal="left"/>
    </xf>
    <xf numFmtId="0" fontId="13" fillId="20" borderId="11" xfId="0" applyFont="1" applyFill="1" applyBorder="1" applyAlignment="1">
      <alignment horizontal="left"/>
    </xf>
    <xf numFmtId="0" fontId="13" fillId="20" borderId="12" xfId="0" applyFont="1" applyFill="1" applyBorder="1" applyAlignment="1">
      <alignment horizontal="right"/>
    </xf>
    <xf numFmtId="0" fontId="13" fillId="20" borderId="6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4" fontId="1" fillId="0" borderId="0" xfId="0" applyNumberFormat="1" applyFont="1"/>
    <xf numFmtId="0" fontId="9" fillId="5" borderId="13" xfId="0" applyFont="1" applyFill="1" applyBorder="1"/>
    <xf numFmtId="4" fontId="13" fillId="20" borderId="12" xfId="0" applyNumberFormat="1" applyFont="1" applyFill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0" fontId="8" fillId="0" borderId="0" xfId="0" applyFont="1" applyAlignment="1">
      <alignment horizontal="left" shrinkToFit="1"/>
    </xf>
    <xf numFmtId="0" fontId="9" fillId="0" borderId="3" xfId="0" applyFont="1" applyBorder="1"/>
    <xf numFmtId="4" fontId="24" fillId="2" borderId="0" xfId="0" applyNumberFormat="1" applyFont="1" applyFill="1"/>
    <xf numFmtId="4" fontId="9" fillId="16" borderId="0" xfId="0" applyNumberFormat="1" applyFont="1" applyFill="1" applyAlignment="1">
      <alignment horizontal="right"/>
    </xf>
    <xf numFmtId="4" fontId="1" fillId="16" borderId="0" xfId="0" applyNumberFormat="1" applyFont="1" applyFill="1"/>
    <xf numFmtId="0" fontId="9" fillId="5" borderId="0" xfId="0" applyFont="1" applyFill="1" applyAlignment="1">
      <alignment horizontal="left"/>
    </xf>
    <xf numFmtId="4" fontId="0" fillId="19" borderId="2" xfId="0" applyNumberFormat="1" applyFill="1" applyBorder="1"/>
    <xf numFmtId="4" fontId="13" fillId="20" borderId="0" xfId="0" applyNumberFormat="1" applyFont="1" applyFill="1" applyAlignment="1">
      <alignment horizontal="right"/>
    </xf>
    <xf numFmtId="4" fontId="13" fillId="16" borderId="0" xfId="0" applyNumberFormat="1" applyFont="1" applyFill="1" applyAlignment="1">
      <alignment horizontal="right"/>
    </xf>
    <xf numFmtId="4" fontId="9" fillId="0" borderId="13" xfId="0" applyNumberFormat="1" applyFont="1" applyBorder="1"/>
    <xf numFmtId="0" fontId="8" fillId="2" borderId="13" xfId="0" applyFont="1" applyFill="1" applyBorder="1" applyAlignment="1">
      <alignment horizontal="right"/>
    </xf>
    <xf numFmtId="4" fontId="5" fillId="8" borderId="3" xfId="0" applyNumberFormat="1" applyFont="1" applyFill="1" applyBorder="1" applyAlignment="1">
      <alignment horizontal="right"/>
    </xf>
    <xf numFmtId="0" fontId="10" fillId="0" borderId="0" xfId="0" applyFont="1"/>
    <xf numFmtId="4" fontId="4" fillId="0" borderId="4" xfId="0" applyNumberFormat="1" applyFont="1" applyBorder="1" applyAlignment="1">
      <alignment horizontal="right" vertical="center" wrapText="1"/>
    </xf>
    <xf numFmtId="4" fontId="15" fillId="8" borderId="12" xfId="0" applyNumberFormat="1" applyFont="1" applyFill="1" applyBorder="1" applyAlignment="1">
      <alignment horizontal="right"/>
    </xf>
    <xf numFmtId="4" fontId="21" fillId="8" borderId="3" xfId="0" applyNumberFormat="1" applyFont="1" applyFill="1" applyBorder="1" applyAlignment="1">
      <alignment horizontal="right"/>
    </xf>
    <xf numFmtId="4" fontId="15" fillId="9" borderId="3" xfId="0" applyNumberFormat="1" applyFont="1" applyFill="1" applyBorder="1" applyAlignment="1">
      <alignment horizontal="right"/>
    </xf>
    <xf numFmtId="4" fontId="0" fillId="21" borderId="3" xfId="0" applyNumberFormat="1" applyFill="1" applyBorder="1" applyAlignment="1">
      <alignment horizontal="right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right" vertical="center" wrapText="1"/>
    </xf>
    <xf numFmtId="0" fontId="27" fillId="2" borderId="3" xfId="0" applyFont="1" applyFill="1" applyBorder="1" applyAlignment="1">
      <alignment horizontal="left" vertical="center" wrapText="1"/>
    </xf>
    <xf numFmtId="49" fontId="27" fillId="2" borderId="3" xfId="0" applyNumberFormat="1" applyFont="1" applyFill="1" applyBorder="1" applyAlignment="1">
      <alignment horizontal="left" vertical="center" wrapText="1"/>
    </xf>
    <xf numFmtId="4" fontId="25" fillId="0" borderId="4" xfId="0" applyNumberFormat="1" applyFont="1" applyBorder="1" applyAlignment="1">
      <alignment horizontal="right"/>
    </xf>
    <xf numFmtId="0" fontId="18" fillId="2" borderId="3" xfId="0" applyFont="1" applyFill="1" applyBorder="1" applyAlignment="1">
      <alignment horizontal="left" vertical="center" wrapText="1"/>
    </xf>
    <xf numFmtId="49" fontId="18" fillId="2" borderId="3" xfId="0" applyNumberFormat="1" applyFont="1" applyFill="1" applyBorder="1" applyAlignment="1">
      <alignment horizontal="left" vertical="center" wrapText="1"/>
    </xf>
    <xf numFmtId="4" fontId="28" fillId="0" borderId="3" xfId="0" applyNumberFormat="1" applyFont="1" applyBorder="1" applyAlignment="1">
      <alignment horizontal="right"/>
    </xf>
    <xf numFmtId="0" fontId="18" fillId="0" borderId="3" xfId="0" quotePrefix="1" applyFont="1" applyBorder="1" applyAlignment="1">
      <alignment horizontal="left" vertical="center"/>
    </xf>
    <xf numFmtId="49" fontId="29" fillId="0" borderId="3" xfId="0" quotePrefix="1" applyNumberFormat="1" applyFont="1" applyBorder="1" applyAlignment="1">
      <alignment horizontal="left" vertical="center"/>
    </xf>
    <xf numFmtId="0" fontId="29" fillId="0" borderId="3" xfId="0" quotePrefix="1" applyFont="1" applyBorder="1" applyAlignment="1">
      <alignment horizontal="left" vertical="center"/>
    </xf>
    <xf numFmtId="4" fontId="28" fillId="0" borderId="4" xfId="0" applyNumberFormat="1" applyFont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49" fontId="29" fillId="2" borderId="3" xfId="0" quotePrefix="1" applyNumberFormat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/>
    </xf>
    <xf numFmtId="49" fontId="27" fillId="2" borderId="3" xfId="0" applyNumberFormat="1" applyFont="1" applyFill="1" applyBorder="1" applyAlignment="1">
      <alignment horizontal="left" vertical="center"/>
    </xf>
    <xf numFmtId="0" fontId="27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4" fontId="28" fillId="0" borderId="3" xfId="0" applyNumberFormat="1" applyFont="1" applyBorder="1" applyAlignment="1">
      <alignment horizontal="right" wrapText="1"/>
    </xf>
    <xf numFmtId="0" fontId="18" fillId="0" borderId="3" xfId="0" applyFont="1" applyBorder="1" applyAlignment="1">
      <alignment horizontal="left" vertical="center" wrapText="1"/>
    </xf>
    <xf numFmtId="49" fontId="26" fillId="0" borderId="0" xfId="0" applyNumberFormat="1" applyFont="1"/>
    <xf numFmtId="4" fontId="26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vertical="center" wrapText="1"/>
    </xf>
    <xf numFmtId="0" fontId="26" fillId="0" borderId="3" xfId="0" applyFont="1" applyBorder="1"/>
    <xf numFmtId="4" fontId="26" fillId="0" borderId="3" xfId="0" applyNumberFormat="1" applyFont="1" applyBorder="1"/>
    <xf numFmtId="49" fontId="25" fillId="4" borderId="3" xfId="0" applyNumberFormat="1" applyFont="1" applyFill="1" applyBorder="1" applyAlignment="1">
      <alignment horizontal="center" vertical="center" wrapText="1"/>
    </xf>
    <xf numFmtId="0" fontId="30" fillId="0" borderId="0" xfId="0" applyFont="1"/>
    <xf numFmtId="4" fontId="28" fillId="2" borderId="0" xfId="0" applyNumberFormat="1" applyFont="1" applyFill="1" applyAlignment="1">
      <alignment horizontal="right"/>
    </xf>
    <xf numFmtId="4" fontId="0" fillId="19" borderId="0" xfId="0" applyNumberFormat="1" applyFill="1"/>
    <xf numFmtId="4" fontId="9" fillId="15" borderId="0" xfId="0" applyNumberFormat="1" applyFont="1" applyFill="1"/>
    <xf numFmtId="4" fontId="8" fillId="5" borderId="0" xfId="0" applyNumberFormat="1" applyFont="1" applyFill="1"/>
    <xf numFmtId="4" fontId="9" fillId="15" borderId="0" xfId="0" applyNumberFormat="1" applyFont="1" applyFill="1" applyAlignment="1">
      <alignment horizontal="right"/>
    </xf>
    <xf numFmtId="4" fontId="8" fillId="7" borderId="0" xfId="0" applyNumberFormat="1" applyFont="1" applyFill="1"/>
    <xf numFmtId="4" fontId="8" fillId="10" borderId="0" xfId="0" applyNumberFormat="1" applyFont="1" applyFill="1"/>
    <xf numFmtId="4" fontId="23" fillId="0" borderId="0" xfId="0" applyNumberFormat="1" applyFont="1"/>
    <xf numFmtId="0" fontId="9" fillId="17" borderId="8" xfId="0" applyFont="1" applyFill="1" applyBorder="1"/>
    <xf numFmtId="0" fontId="8" fillId="2" borderId="1" xfId="0" applyFont="1" applyFill="1" applyBorder="1"/>
    <xf numFmtId="0" fontId="9" fillId="17" borderId="2" xfId="0" applyFont="1" applyFill="1" applyBorder="1"/>
    <xf numFmtId="0" fontId="9" fillId="17" borderId="1" xfId="0" applyFont="1" applyFill="1" applyBorder="1" applyAlignment="1">
      <alignment horizontal="left"/>
    </xf>
    <xf numFmtId="0" fontId="9" fillId="17" borderId="2" xfId="0" applyFont="1" applyFill="1" applyBorder="1" applyAlignment="1">
      <alignment horizontal="left"/>
    </xf>
    <xf numFmtId="4" fontId="1" fillId="17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right"/>
    </xf>
    <xf numFmtId="4" fontId="0" fillId="17" borderId="3" xfId="0" applyNumberForma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1" fillId="5" borderId="3" xfId="0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4" fontId="9" fillId="17" borderId="3" xfId="0" applyNumberFormat="1" applyFont="1" applyFill="1" applyBorder="1" applyAlignment="1">
      <alignment horizontal="right"/>
    </xf>
    <xf numFmtId="0" fontId="9" fillId="16" borderId="13" xfId="0" applyFont="1" applyFill="1" applyBorder="1"/>
    <xf numFmtId="0" fontId="9" fillId="16" borderId="0" xfId="0" applyFont="1" applyFill="1" applyAlignment="1">
      <alignment horizontal="left" shrinkToFit="1"/>
    </xf>
    <xf numFmtId="4" fontId="1" fillId="2" borderId="0" xfId="0" applyNumberFormat="1" applyFont="1" applyFill="1"/>
    <xf numFmtId="0" fontId="1" fillId="2" borderId="0" xfId="0" applyFont="1" applyFill="1"/>
    <xf numFmtId="0" fontId="9" fillId="16" borderId="0" xfId="0" applyFont="1" applyFill="1"/>
    <xf numFmtId="0" fontId="9" fillId="16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3" fillId="7" borderId="12" xfId="0" applyFont="1" applyFill="1" applyBorder="1" applyAlignment="1">
      <alignment horizontal="right"/>
    </xf>
    <xf numFmtId="4" fontId="19" fillId="7" borderId="12" xfId="0" applyNumberFormat="1" applyFont="1" applyFill="1" applyBorder="1" applyAlignment="1">
      <alignment horizontal="right"/>
    </xf>
    <xf numFmtId="4" fontId="9" fillId="15" borderId="7" xfId="0" applyNumberFormat="1" applyFont="1" applyFill="1" applyBorder="1" applyAlignment="1">
      <alignment horizontal="right"/>
    </xf>
    <xf numFmtId="4" fontId="9" fillId="15" borderId="12" xfId="0" applyNumberFormat="1" applyFont="1" applyFill="1" applyBorder="1" applyAlignment="1">
      <alignment horizontal="right"/>
    </xf>
    <xf numFmtId="4" fontId="9" fillId="15" borderId="3" xfId="0" applyNumberFormat="1" applyFont="1" applyFill="1" applyBorder="1" applyAlignment="1">
      <alignment horizontal="right"/>
    </xf>
    <xf numFmtId="4" fontId="9" fillId="15" borderId="8" xfId="0" applyNumberFormat="1" applyFont="1" applyFill="1" applyBorder="1" applyAlignment="1">
      <alignment horizontal="right"/>
    </xf>
    <xf numFmtId="4" fontId="9" fillId="15" borderId="13" xfId="0" applyNumberFormat="1" applyFont="1" applyFill="1" applyBorder="1" applyAlignment="1">
      <alignment horizontal="right"/>
    </xf>
    <xf numFmtId="4" fontId="9" fillId="15" borderId="8" xfId="0" applyNumberFormat="1" applyFont="1" applyFill="1" applyBorder="1"/>
    <xf numFmtId="4" fontId="9" fillId="15" borderId="6" xfId="0" applyNumberFormat="1" applyFont="1" applyFill="1" applyBorder="1"/>
    <xf numFmtId="4" fontId="32" fillId="7" borderId="12" xfId="0" applyNumberFormat="1" applyFont="1" applyFill="1" applyBorder="1" applyAlignment="1">
      <alignment horizontal="right"/>
    </xf>
    <xf numFmtId="4" fontId="32" fillId="0" borderId="7" xfId="0" applyNumberFormat="1" applyFont="1" applyBorder="1" applyAlignment="1">
      <alignment horizontal="right" shrinkToFit="1"/>
    </xf>
    <xf numFmtId="4" fontId="32" fillId="7" borderId="7" xfId="0" applyNumberFormat="1" applyFont="1" applyFill="1" applyBorder="1" applyAlignment="1">
      <alignment horizontal="right" shrinkToFit="1"/>
    </xf>
    <xf numFmtId="0" fontId="9" fillId="17" borderId="12" xfId="0" applyFont="1" applyFill="1" applyBorder="1"/>
    <xf numFmtId="4" fontId="1" fillId="17" borderId="7" xfId="0" applyNumberFormat="1" applyFont="1" applyFill="1" applyBorder="1" applyAlignment="1">
      <alignment horizontal="right"/>
    </xf>
    <xf numFmtId="4" fontId="1" fillId="17" borderId="12" xfId="0" applyNumberFormat="1" applyFont="1" applyFill="1" applyBorder="1" applyAlignment="1">
      <alignment horizontal="right"/>
    </xf>
    <xf numFmtId="4" fontId="1" fillId="17" borderId="7" xfId="0" applyNumberFormat="1" applyFont="1" applyFill="1" applyBorder="1"/>
    <xf numFmtId="4" fontId="1" fillId="17" borderId="12" xfId="0" applyNumberFormat="1" applyFont="1" applyFill="1" applyBorder="1"/>
    <xf numFmtId="0" fontId="8" fillId="0" borderId="13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4" fontId="0" fillId="0" borderId="12" xfId="0" applyNumberFormat="1" applyBorder="1" applyAlignment="1">
      <alignment horizontal="right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7" fillId="0" borderId="3" xfId="0" applyFont="1" applyBorder="1" applyAlignment="1">
      <alignment horizontal="left" vertical="center" wrapText="1"/>
    </xf>
    <xf numFmtId="0" fontId="18" fillId="0" borderId="3" xfId="0" quotePrefix="1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33" fillId="0" borderId="0" xfId="0" applyFont="1"/>
    <xf numFmtId="0" fontId="26" fillId="0" borderId="0" xfId="0" applyFont="1" applyAlignment="1">
      <alignment wrapText="1"/>
    </xf>
    <xf numFmtId="0" fontId="18" fillId="0" borderId="0" xfId="0" applyFont="1"/>
    <xf numFmtId="0" fontId="25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25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25" fillId="0" borderId="1" xfId="0" quotePrefix="1" applyFont="1" applyBorder="1" applyAlignment="1">
      <alignment horizontal="left" wrapText="1"/>
    </xf>
    <xf numFmtId="0" fontId="25" fillId="0" borderId="2" xfId="0" quotePrefix="1" applyFont="1" applyBorder="1" applyAlignment="1">
      <alignment horizontal="left" wrapText="1"/>
    </xf>
    <xf numFmtId="0" fontId="25" fillId="0" borderId="2" xfId="0" quotePrefix="1" applyFont="1" applyBorder="1" applyAlignment="1">
      <alignment horizontal="center" wrapText="1"/>
    </xf>
    <xf numFmtId="0" fontId="25" fillId="0" borderId="2" xfId="0" quotePrefix="1" applyFont="1" applyBorder="1" applyAlignment="1">
      <alignment horizontal="left"/>
    </xf>
    <xf numFmtId="0" fontId="25" fillId="2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/>
    </xf>
    <xf numFmtId="4" fontId="25" fillId="3" borderId="3" xfId="0" applyNumberFormat="1" applyFont="1" applyFill="1" applyBorder="1" applyAlignment="1">
      <alignment horizontal="right"/>
    </xf>
    <xf numFmtId="4" fontId="25" fillId="0" borderId="3" xfId="0" applyNumberFormat="1" applyFont="1" applyBorder="1" applyAlignment="1">
      <alignment horizontal="right"/>
    </xf>
    <xf numFmtId="0" fontId="27" fillId="3" borderId="1" xfId="0" applyFont="1" applyFill="1" applyBorder="1" applyAlignment="1">
      <alignment horizontal="left" vertical="center"/>
    </xf>
    <xf numFmtId="4" fontId="25" fillId="0" borderId="3" xfId="0" applyNumberFormat="1" applyFont="1" applyBorder="1" applyAlignment="1">
      <alignment horizontal="right" wrapText="1"/>
    </xf>
    <xf numFmtId="0" fontId="28" fillId="0" borderId="0" xfId="0" applyFont="1" applyAlignment="1">
      <alignment horizontal="center" vertical="center" wrapText="1"/>
    </xf>
    <xf numFmtId="0" fontId="35" fillId="0" borderId="0" xfId="0" applyFont="1"/>
    <xf numFmtId="0" fontId="28" fillId="0" borderId="0" xfId="0" applyFont="1"/>
    <xf numFmtId="3" fontId="25" fillId="0" borderId="3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 wrapText="1"/>
    </xf>
    <xf numFmtId="0" fontId="25" fillId="0" borderId="0" xfId="0" quotePrefix="1" applyFont="1" applyAlignment="1">
      <alignment horizontal="center" vertical="center" wrapText="1"/>
    </xf>
    <xf numFmtId="4" fontId="27" fillId="4" borderId="1" xfId="0" quotePrefix="1" applyNumberFormat="1" applyFont="1" applyFill="1" applyBorder="1" applyAlignment="1">
      <alignment horizontal="right"/>
    </xf>
    <xf numFmtId="4" fontId="27" fillId="4" borderId="3" xfId="0" applyNumberFormat="1" applyFont="1" applyFill="1" applyBorder="1" applyAlignment="1">
      <alignment horizontal="right" wrapText="1"/>
    </xf>
    <xf numFmtId="4" fontId="27" fillId="3" borderId="1" xfId="0" quotePrefix="1" applyNumberFormat="1" applyFont="1" applyFill="1" applyBorder="1" applyAlignment="1">
      <alignment horizontal="right"/>
    </xf>
    <xf numFmtId="4" fontId="27" fillId="3" borderId="3" xfId="0" quotePrefix="1" applyNumberFormat="1" applyFont="1" applyFill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2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7" fillId="0" borderId="1" xfId="0" quotePrefix="1" applyFont="1" applyBorder="1" applyAlignment="1">
      <alignment horizontal="left" wrapText="1"/>
    </xf>
    <xf numFmtId="0" fontId="27" fillId="0" borderId="2" xfId="0" quotePrefix="1" applyFont="1" applyBorder="1" applyAlignment="1">
      <alignment horizontal="left" wrapText="1"/>
    </xf>
    <xf numFmtId="0" fontId="27" fillId="0" borderId="2" xfId="0" quotePrefix="1" applyFont="1" applyBorder="1" applyAlignment="1">
      <alignment horizontal="center" wrapText="1"/>
    </xf>
    <xf numFmtId="0" fontId="27" fillId="0" borderId="2" xfId="0" quotePrefix="1" applyFont="1" applyBorder="1" applyAlignment="1">
      <alignment horizontal="left"/>
    </xf>
    <xf numFmtId="4" fontId="25" fillId="3" borderId="1" xfId="0" quotePrefix="1" applyNumberFormat="1" applyFont="1" applyFill="1" applyBorder="1" applyAlignment="1">
      <alignment horizontal="right"/>
    </xf>
    <xf numFmtId="4" fontId="25" fillId="3" borderId="3" xfId="0" quotePrefix="1" applyNumberFormat="1" applyFont="1" applyFill="1" applyBorder="1" applyAlignment="1">
      <alignment horizontal="right"/>
    </xf>
    <xf numFmtId="0" fontId="27" fillId="0" borderId="0" xfId="0" quotePrefix="1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3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5" fillId="0" borderId="4" xfId="0" applyFont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3" xfId="0" quotePrefix="1" applyFont="1" applyFill="1" applyBorder="1" applyAlignment="1">
      <alignment horizontal="left" vertical="center" wrapText="1"/>
    </xf>
    <xf numFmtId="0" fontId="29" fillId="2" borderId="3" xfId="0" quotePrefix="1" applyFont="1" applyFill="1" applyBorder="1" applyAlignment="1">
      <alignment horizontal="left" vertical="center"/>
    </xf>
    <xf numFmtId="0" fontId="29" fillId="2" borderId="3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3" xfId="0" quotePrefix="1" applyFont="1" applyBorder="1" applyAlignment="1">
      <alignment horizontal="left" vertical="center" wrapText="1"/>
    </xf>
    <xf numFmtId="49" fontId="25" fillId="0" borderId="0" xfId="0" applyNumberFormat="1" applyFont="1" applyAlignment="1">
      <alignment horizontal="center" vertical="center" wrapText="1"/>
    </xf>
    <xf numFmtId="49" fontId="28" fillId="2" borderId="3" xfId="0" applyNumberFormat="1" applyFont="1" applyFill="1" applyBorder="1" applyAlignment="1">
      <alignment horizontal="left"/>
    </xf>
    <xf numFmtId="4" fontId="34" fillId="0" borderId="3" xfId="0" applyNumberFormat="1" applyFont="1" applyBorder="1"/>
    <xf numFmtId="49" fontId="26" fillId="0" borderId="3" xfId="0" applyNumberFormat="1" applyFont="1" applyBorder="1"/>
    <xf numFmtId="49" fontId="26" fillId="0" borderId="3" xfId="0" applyNumberFormat="1" applyFont="1" applyBorder="1" applyAlignment="1">
      <alignment wrapText="1"/>
    </xf>
    <xf numFmtId="4" fontId="28" fillId="2" borderId="4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 wrapText="1"/>
    </xf>
    <xf numFmtId="4" fontId="9" fillId="15" borderId="0" xfId="0" applyNumberFormat="1" applyFont="1" applyFill="1" applyAlignment="1">
      <alignment horizontal="center"/>
    </xf>
    <xf numFmtId="4" fontId="1" fillId="5" borderId="1" xfId="0" applyNumberFormat="1" applyFont="1" applyFill="1" applyBorder="1"/>
    <xf numFmtId="4" fontId="16" fillId="12" borderId="0" xfId="0" applyNumberFormat="1" applyFont="1" applyFill="1"/>
    <xf numFmtId="4" fontId="9" fillId="14" borderId="0" xfId="0" applyNumberFormat="1" applyFont="1" applyFill="1"/>
    <xf numFmtId="4" fontId="9" fillId="6" borderId="0" xfId="0" applyNumberFormat="1" applyFont="1" applyFill="1"/>
    <xf numFmtId="4" fontId="17" fillId="13" borderId="0" xfId="0" applyNumberFormat="1" applyFont="1" applyFill="1"/>
    <xf numFmtId="4" fontId="13" fillId="14" borderId="0" xfId="0" applyNumberFormat="1" applyFont="1" applyFill="1"/>
    <xf numFmtId="4" fontId="13" fillId="14" borderId="0" xfId="0" applyNumberFormat="1" applyFont="1" applyFill="1" applyAlignment="1">
      <alignment horizontal="right"/>
    </xf>
    <xf numFmtId="4" fontId="9" fillId="6" borderId="0" xfId="0" applyNumberFormat="1" applyFont="1" applyFill="1" applyAlignment="1">
      <alignment horizontal="right"/>
    </xf>
    <xf numFmtId="4" fontId="13" fillId="6" borderId="0" xfId="0" applyNumberFormat="1" applyFont="1" applyFill="1"/>
    <xf numFmtId="0" fontId="9" fillId="0" borderId="3" xfId="0" applyFont="1" applyBorder="1" applyAlignment="1">
      <alignment wrapText="1"/>
    </xf>
    <xf numFmtId="0" fontId="5" fillId="4" borderId="3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4" fontId="1" fillId="8" borderId="1" xfId="0" applyNumberFormat="1" applyFont="1" applyFill="1" applyBorder="1"/>
    <xf numFmtId="4" fontId="0" fillId="17" borderId="1" xfId="0" applyNumberFormat="1" applyFill="1" applyBorder="1"/>
    <xf numFmtId="4" fontId="0" fillId="0" borderId="1" xfId="0" applyNumberFormat="1" applyBorder="1"/>
    <xf numFmtId="4" fontId="31" fillId="0" borderId="3" xfId="0" applyNumberFormat="1" applyFont="1" applyBorder="1"/>
    <xf numFmtId="4" fontId="1" fillId="17" borderId="1" xfId="0" applyNumberFormat="1" applyFont="1" applyFill="1" applyBorder="1"/>
    <xf numFmtId="0" fontId="9" fillId="17" borderId="5" xfId="0" applyFont="1" applyFill="1" applyBorder="1"/>
    <xf numFmtId="4" fontId="31" fillId="0" borderId="0" xfId="0" applyNumberFormat="1" applyFont="1"/>
    <xf numFmtId="4" fontId="8" fillId="2" borderId="3" xfId="0" applyNumberFormat="1" applyFont="1" applyFill="1" applyBorder="1"/>
    <xf numFmtId="0" fontId="8" fillId="2" borderId="2" xfId="0" applyFont="1" applyFill="1" applyBorder="1"/>
    <xf numFmtId="4" fontId="1" fillId="17" borderId="8" xfId="0" applyNumberFormat="1" applyFont="1" applyFill="1" applyBorder="1"/>
    <xf numFmtId="4" fontId="1" fillId="17" borderId="6" xfId="0" applyNumberFormat="1" applyFont="1" applyFill="1" applyBorder="1"/>
    <xf numFmtId="4" fontId="9" fillId="17" borderId="3" xfId="0" applyNumberFormat="1" applyFont="1" applyFill="1" applyBorder="1"/>
    <xf numFmtId="4" fontId="9" fillId="17" borderId="1" xfId="0" applyNumberFormat="1" applyFont="1" applyFill="1" applyBorder="1"/>
    <xf numFmtId="4" fontId="1" fillId="0" borderId="3" xfId="0" applyNumberFormat="1" applyFont="1" applyBorder="1"/>
    <xf numFmtId="4" fontId="9" fillId="0" borderId="3" xfId="0" applyNumberFormat="1" applyFont="1" applyBorder="1" applyAlignment="1">
      <alignment horizontal="right"/>
    </xf>
    <xf numFmtId="4" fontId="8" fillId="5" borderId="0" xfId="0" applyNumberFormat="1" applyFont="1" applyFill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4" fontId="0" fillId="5" borderId="3" xfId="0" applyNumberFormat="1" applyFill="1" applyBorder="1"/>
    <xf numFmtId="4" fontId="9" fillId="17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" fontId="13" fillId="11" borderId="1" xfId="0" applyNumberFormat="1" applyFont="1" applyFill="1" applyBorder="1"/>
    <xf numFmtId="4" fontId="13" fillId="9" borderId="1" xfId="0" applyNumberFormat="1" applyFont="1" applyFill="1" applyBorder="1" applyAlignment="1">
      <alignment horizontal="right"/>
    </xf>
    <xf numFmtId="4" fontId="13" fillId="8" borderId="1" xfId="0" applyNumberFormat="1" applyFont="1" applyFill="1" applyBorder="1" applyAlignment="1">
      <alignment horizontal="right" shrinkToFit="1"/>
    </xf>
    <xf numFmtId="4" fontId="13" fillId="20" borderId="1" xfId="0" applyNumberFormat="1" applyFont="1" applyFill="1" applyBorder="1" applyAlignment="1">
      <alignment horizontal="right"/>
    </xf>
    <xf numFmtId="4" fontId="8" fillId="7" borderId="1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wrapText="1"/>
    </xf>
    <xf numFmtId="4" fontId="9" fillId="8" borderId="1" xfId="0" applyNumberFormat="1" applyFont="1" applyFill="1" applyBorder="1" applyAlignment="1">
      <alignment horizontal="right" shrinkToFit="1"/>
    </xf>
    <xf numFmtId="4" fontId="8" fillId="7" borderId="1" xfId="0" applyNumberFormat="1" applyFont="1" applyFill="1" applyBorder="1" applyAlignment="1">
      <alignment horizontal="right" shrinkToFit="1"/>
    </xf>
    <xf numFmtId="4" fontId="5" fillId="8" borderId="1" xfId="0" applyNumberFormat="1" applyFont="1" applyFill="1" applyBorder="1" applyAlignment="1">
      <alignment horizontal="right"/>
    </xf>
    <xf numFmtId="4" fontId="3" fillId="7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4" fontId="13" fillId="9" borderId="1" xfId="0" applyNumberFormat="1" applyFont="1" applyFill="1" applyBorder="1" applyAlignment="1">
      <alignment horizontal="right" shrinkToFit="1"/>
    </xf>
    <xf numFmtId="4" fontId="13" fillId="20" borderId="1" xfId="0" applyNumberFormat="1" applyFont="1" applyFill="1" applyBorder="1"/>
    <xf numFmtId="4" fontId="0" fillId="7" borderId="1" xfId="0" applyNumberFormat="1" applyFill="1" applyBorder="1" applyAlignment="1">
      <alignment horizontal="right"/>
    </xf>
    <xf numFmtId="4" fontId="0" fillId="21" borderId="1" xfId="0" applyNumberFormat="1" applyFill="1" applyBorder="1" applyAlignment="1">
      <alignment horizontal="right"/>
    </xf>
    <xf numFmtId="4" fontId="15" fillId="9" borderId="1" xfId="0" applyNumberFormat="1" applyFont="1" applyFill="1" applyBorder="1" applyAlignment="1">
      <alignment horizontal="right"/>
    </xf>
    <xf numFmtId="4" fontId="9" fillId="8" borderId="1" xfId="0" applyNumberFormat="1" applyFont="1" applyFill="1" applyBorder="1" applyAlignment="1">
      <alignment horizontal="right"/>
    </xf>
    <xf numFmtId="0" fontId="13" fillId="20" borderId="6" xfId="0" applyFont="1" applyFill="1" applyBorder="1" applyAlignment="1">
      <alignment horizontal="right"/>
    </xf>
    <xf numFmtId="4" fontId="21" fillId="8" borderId="1" xfId="0" applyNumberFormat="1" applyFont="1" applyFill="1" applyBorder="1" applyAlignment="1">
      <alignment horizontal="right"/>
    </xf>
    <xf numFmtId="4" fontId="32" fillId="7" borderId="6" xfId="0" applyNumberFormat="1" applyFont="1" applyFill="1" applyBorder="1" applyAlignment="1">
      <alignment horizontal="right"/>
    </xf>
    <xf numFmtId="4" fontId="32" fillId="7" borderId="8" xfId="0" applyNumberFormat="1" applyFont="1" applyFill="1" applyBorder="1" applyAlignment="1">
      <alignment horizontal="right" shrinkToFit="1"/>
    </xf>
    <xf numFmtId="4" fontId="32" fillId="0" borderId="8" xfId="0" applyNumberFormat="1" applyFont="1" applyBorder="1" applyAlignment="1">
      <alignment horizontal="right" shrinkToFit="1"/>
    </xf>
    <xf numFmtId="4" fontId="19" fillId="0" borderId="8" xfId="0" applyNumberFormat="1" applyFont="1" applyBorder="1" applyAlignment="1">
      <alignment horizontal="right" shrinkToFit="1"/>
    </xf>
    <xf numFmtId="4" fontId="0" fillId="0" borderId="6" xfId="0" applyNumberFormat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4" fontId="0" fillId="10" borderId="1" xfId="0" applyNumberFormat="1" applyFill="1" applyBorder="1" applyAlignment="1">
      <alignment horizontal="right"/>
    </xf>
    <xf numFmtId="4" fontId="19" fillId="7" borderId="6" xfId="0" applyNumberFormat="1" applyFont="1" applyFill="1" applyBorder="1" applyAlignment="1">
      <alignment horizontal="right"/>
    </xf>
    <xf numFmtId="4" fontId="13" fillId="9" borderId="2" xfId="0" applyNumberFormat="1" applyFon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3" fillId="11" borderId="1" xfId="0" applyNumberFormat="1" applyFont="1" applyFill="1" applyBorder="1" applyAlignment="1">
      <alignment horizontal="right" shrinkToFit="1"/>
    </xf>
    <xf numFmtId="4" fontId="4" fillId="0" borderId="3" xfId="0" applyNumberFormat="1" applyFont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shrinkToFit="1"/>
    </xf>
    <xf numFmtId="0" fontId="13" fillId="20" borderId="3" xfId="0" applyFont="1" applyFill="1" applyBorder="1" applyAlignment="1">
      <alignment horizontal="right"/>
    </xf>
    <xf numFmtId="4" fontId="32" fillId="7" borderId="3" xfId="0" applyNumberFormat="1" applyFont="1" applyFill="1" applyBorder="1" applyAlignment="1">
      <alignment horizontal="right"/>
    </xf>
    <xf numFmtId="4" fontId="32" fillId="7" borderId="3" xfId="0" applyNumberFormat="1" applyFont="1" applyFill="1" applyBorder="1" applyAlignment="1">
      <alignment horizontal="right" shrinkToFit="1"/>
    </xf>
    <xf numFmtId="4" fontId="32" fillId="0" borderId="3" xfId="0" applyNumberFormat="1" applyFont="1" applyBorder="1" applyAlignment="1">
      <alignment horizontal="right" shrinkToFit="1"/>
    </xf>
    <xf numFmtId="4" fontId="19" fillId="0" borderId="3" xfId="0" applyNumberFormat="1" applyFont="1" applyBorder="1" applyAlignment="1">
      <alignment horizontal="right" shrinkToFit="1"/>
    </xf>
    <xf numFmtId="0" fontId="13" fillId="20" borderId="3" xfId="0" applyFont="1" applyFill="1" applyBorder="1" applyAlignment="1">
      <alignment horizontal="left"/>
    </xf>
    <xf numFmtId="4" fontId="19" fillId="7" borderId="3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left" vertical="center" wrapText="1"/>
    </xf>
    <xf numFmtId="0" fontId="13" fillId="20" borderId="2" xfId="0" applyFont="1" applyFill="1" applyBorder="1" applyAlignment="1">
      <alignment horizontal="left" shrinkToFit="1"/>
    </xf>
    <xf numFmtId="4" fontId="19" fillId="7" borderId="3" xfId="0" applyNumberFormat="1" applyFont="1" applyFill="1" applyBorder="1" applyAlignment="1">
      <alignment horizontal="right" shrinkToFit="1"/>
    </xf>
    <xf numFmtId="0" fontId="9" fillId="8" borderId="8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left"/>
    </xf>
    <xf numFmtId="4" fontId="9" fillId="8" borderId="1" xfId="0" applyNumberFormat="1" applyFont="1" applyFill="1" applyBorder="1"/>
    <xf numFmtId="4" fontId="9" fillId="8" borderId="3" xfId="0" applyNumberFormat="1" applyFont="1" applyFill="1" applyBorder="1"/>
    <xf numFmtId="4" fontId="21" fillId="8" borderId="1" xfId="0" applyNumberFormat="1" applyFont="1" applyFill="1" applyBorder="1"/>
    <xf numFmtId="4" fontId="21" fillId="8" borderId="3" xfId="0" applyNumberFormat="1" applyFont="1" applyFill="1" applyBorder="1"/>
    <xf numFmtId="4" fontId="21" fillId="8" borderId="6" xfId="0" applyNumberFormat="1" applyFont="1" applyFill="1" applyBorder="1" applyAlignment="1">
      <alignment horizontal="right"/>
    </xf>
    <xf numFmtId="2" fontId="6" fillId="0" borderId="0" xfId="0" applyNumberFormat="1" applyFont="1" applyAlignment="1">
      <alignment horizontal="center" vertical="center" wrapText="1"/>
    </xf>
    <xf numFmtId="4" fontId="6" fillId="13" borderId="0" xfId="0" applyNumberFormat="1" applyFont="1" applyFill="1"/>
    <xf numFmtId="4" fontId="8" fillId="16" borderId="0" xfId="0" applyNumberFormat="1" applyFont="1" applyFill="1"/>
    <xf numFmtId="4" fontId="1" fillId="6" borderId="0" xfId="0" applyNumberFormat="1" applyFont="1" applyFill="1"/>
    <xf numFmtId="0" fontId="5" fillId="19" borderId="0" xfId="0" applyFont="1" applyFill="1" applyAlignment="1">
      <alignment horizontal="center" vertical="center" wrapText="1"/>
    </xf>
    <xf numFmtId="4" fontId="1" fillId="19" borderId="3" xfId="0" applyNumberFormat="1" applyFont="1" applyFill="1" applyBorder="1"/>
    <xf numFmtId="4" fontId="1" fillId="19" borderId="3" xfId="0" applyNumberFormat="1" applyFont="1" applyFill="1" applyBorder="1" applyAlignment="1">
      <alignment horizontal="center"/>
    </xf>
    <xf numFmtId="4" fontId="9" fillId="19" borderId="3" xfId="0" applyNumberFormat="1" applyFont="1" applyFill="1" applyBorder="1" applyAlignment="1">
      <alignment horizontal="right"/>
    </xf>
    <xf numFmtId="4" fontId="8" fillId="16" borderId="0" xfId="0" applyNumberFormat="1" applyFont="1" applyFill="1" applyAlignment="1">
      <alignment horizontal="right"/>
    </xf>
    <xf numFmtId="0" fontId="18" fillId="0" borderId="0" xfId="0" applyFont="1" applyAlignment="1">
      <alignment horizontal="center" shrinkToFit="1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3" fillId="2" borderId="0" xfId="0" applyNumberFormat="1" applyFont="1" applyFill="1"/>
    <xf numFmtId="0" fontId="19" fillId="2" borderId="0" xfId="0" applyFont="1" applyFill="1"/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27" fillId="3" borderId="1" xfId="0" quotePrefix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center" wrapText="1"/>
    </xf>
    <xf numFmtId="0" fontId="18" fillId="2" borderId="0" xfId="0" applyFont="1" applyFill="1" applyAlignment="1">
      <alignment horizontal="left" wrapText="1"/>
    </xf>
    <xf numFmtId="0" fontId="27" fillId="4" borderId="1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7" fillId="0" borderId="1" xfId="0" quotePrefix="1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27" fillId="0" borderId="1" xfId="0" quotePrefix="1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27" fillId="3" borderId="1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8" fillId="3" borderId="2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 shrinkToFi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shrinkToFi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9" fillId="8" borderId="1" xfId="0" applyFont="1" applyFill="1" applyBorder="1" applyAlignment="1">
      <alignment horizontal="left"/>
    </xf>
    <xf numFmtId="0" fontId="9" fillId="8" borderId="2" xfId="0" applyFont="1" applyFill="1" applyBorder="1" applyAlignment="1">
      <alignment horizontal="left"/>
    </xf>
    <xf numFmtId="0" fontId="9" fillId="8" borderId="4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 shrinkToFit="1"/>
    </xf>
    <xf numFmtId="0" fontId="8" fillId="7" borderId="2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left" shrinkToFit="1"/>
    </xf>
    <xf numFmtId="0" fontId="9" fillId="8" borderId="9" xfId="0" applyFont="1" applyFill="1" applyBorder="1" applyAlignment="1">
      <alignment horizontal="left" shrinkToFit="1"/>
    </xf>
    <xf numFmtId="0" fontId="9" fillId="8" borderId="10" xfId="0" applyFont="1" applyFill="1" applyBorder="1" applyAlignment="1">
      <alignment horizontal="left" shrinkToFit="1"/>
    </xf>
    <xf numFmtId="0" fontId="13" fillId="9" borderId="1" xfId="0" applyFont="1" applyFill="1" applyBorder="1" applyAlignment="1">
      <alignment horizontal="left" shrinkToFit="1"/>
    </xf>
    <xf numFmtId="0" fontId="13" fillId="9" borderId="2" xfId="0" applyFont="1" applyFill="1" applyBorder="1" applyAlignment="1">
      <alignment horizontal="left" shrinkToFit="1"/>
    </xf>
    <xf numFmtId="0" fontId="13" fillId="9" borderId="4" xfId="0" applyFont="1" applyFill="1" applyBorder="1" applyAlignment="1">
      <alignment horizontal="left" shrinkToFit="1"/>
    </xf>
    <xf numFmtId="0" fontId="8" fillId="7" borderId="1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 wrapText="1"/>
    </xf>
    <xf numFmtId="0" fontId="9" fillId="8" borderId="2" xfId="0" applyFont="1" applyFill="1" applyBorder="1" applyAlignment="1">
      <alignment horizontal="left" wrapText="1"/>
    </xf>
    <xf numFmtId="0" fontId="9" fillId="8" borderId="4" xfId="0" applyFont="1" applyFill="1" applyBorder="1" applyAlignment="1">
      <alignment horizontal="left" wrapText="1"/>
    </xf>
    <xf numFmtId="0" fontId="9" fillId="8" borderId="6" xfId="0" applyFont="1" applyFill="1" applyBorder="1" applyAlignment="1">
      <alignment horizontal="left"/>
    </xf>
    <xf numFmtId="0" fontId="9" fillId="8" borderId="5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 wrapText="1" shrinkToFit="1"/>
    </xf>
    <xf numFmtId="0" fontId="9" fillId="8" borderId="2" xfId="0" applyFont="1" applyFill="1" applyBorder="1" applyAlignment="1">
      <alignment horizontal="left" wrapText="1" shrinkToFit="1"/>
    </xf>
    <xf numFmtId="0" fontId="9" fillId="8" borderId="4" xfId="0" applyFont="1" applyFill="1" applyBorder="1" applyAlignment="1">
      <alignment horizontal="left" wrapText="1" shrinkToFit="1"/>
    </xf>
    <xf numFmtId="0" fontId="9" fillId="8" borderId="11" xfId="0" applyFont="1" applyFill="1" applyBorder="1" applyAlignment="1">
      <alignment horizontal="left"/>
    </xf>
    <xf numFmtId="0" fontId="9" fillId="8" borderId="8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left"/>
    </xf>
    <xf numFmtId="0" fontId="9" fillId="8" borderId="10" xfId="0" applyFont="1" applyFill="1" applyBorder="1" applyAlignment="1">
      <alignment horizontal="left"/>
    </xf>
    <xf numFmtId="0" fontId="9" fillId="8" borderId="3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9" fillId="8" borderId="3" xfId="0" applyFont="1" applyFill="1" applyBorder="1" applyAlignment="1">
      <alignment horizontal="left" wrapText="1" shrinkToFit="1"/>
    </xf>
    <xf numFmtId="0" fontId="9" fillId="8" borderId="8" xfId="0" applyFont="1" applyFill="1" applyBorder="1" applyAlignment="1">
      <alignment horizontal="left" wrapText="1"/>
    </xf>
    <xf numFmtId="0" fontId="9" fillId="8" borderId="9" xfId="0" applyFont="1" applyFill="1" applyBorder="1" applyAlignment="1">
      <alignment horizontal="left" wrapText="1"/>
    </xf>
    <xf numFmtId="0" fontId="9" fillId="8" borderId="10" xfId="0" applyFont="1" applyFill="1" applyBorder="1" applyAlignment="1">
      <alignment horizontal="left" wrapText="1"/>
    </xf>
    <xf numFmtId="0" fontId="9" fillId="8" borderId="6" xfId="0" applyFont="1" applyFill="1" applyBorder="1" applyAlignment="1">
      <alignment horizontal="left" wrapText="1"/>
    </xf>
    <xf numFmtId="0" fontId="9" fillId="8" borderId="5" xfId="0" applyFont="1" applyFill="1" applyBorder="1" applyAlignment="1">
      <alignment horizontal="left" wrapText="1"/>
    </xf>
    <xf numFmtId="0" fontId="9" fillId="8" borderId="11" xfId="0" applyFont="1" applyFill="1" applyBorder="1" applyAlignment="1">
      <alignment horizontal="left" wrapText="1"/>
    </xf>
    <xf numFmtId="0" fontId="13" fillId="9" borderId="8" xfId="0" applyFont="1" applyFill="1" applyBorder="1" applyAlignment="1">
      <alignment horizontal="left" shrinkToFit="1"/>
    </xf>
    <xf numFmtId="0" fontId="13" fillId="9" borderId="9" xfId="0" applyFont="1" applyFill="1" applyBorder="1" applyAlignment="1">
      <alignment horizontal="left" shrinkToFit="1"/>
    </xf>
    <xf numFmtId="0" fontId="13" fillId="8" borderId="1" xfId="0" applyFont="1" applyFill="1" applyBorder="1" applyAlignment="1">
      <alignment horizontal="left" shrinkToFit="1"/>
    </xf>
    <xf numFmtId="0" fontId="13" fillId="8" borderId="2" xfId="0" applyFont="1" applyFill="1" applyBorder="1" applyAlignment="1">
      <alignment horizontal="left" shrinkToFit="1"/>
    </xf>
    <xf numFmtId="0" fontId="13" fillId="8" borderId="4" xfId="0" applyFont="1" applyFill="1" applyBorder="1" applyAlignment="1">
      <alignment horizontal="left"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" fontId="21" fillId="8" borderId="7" xfId="0" applyNumberFormat="1" applyFont="1" applyFill="1" applyBorder="1" applyAlignment="1">
      <alignment horizontal="right"/>
    </xf>
    <xf numFmtId="4" fontId="21" fillId="8" borderId="12" xfId="0" applyNumberFormat="1" applyFont="1" applyFill="1" applyBorder="1" applyAlignment="1">
      <alignment horizontal="right"/>
    </xf>
    <xf numFmtId="4" fontId="9" fillId="8" borderId="7" xfId="0" applyNumberFormat="1" applyFont="1" applyFill="1" applyBorder="1" applyAlignment="1">
      <alignment horizontal="right" vertical="top"/>
    </xf>
    <xf numFmtId="4" fontId="9" fillId="8" borderId="12" xfId="0" applyNumberFormat="1" applyFont="1" applyFill="1" applyBorder="1" applyAlignment="1">
      <alignment horizontal="right" vertical="top"/>
    </xf>
    <xf numFmtId="4" fontId="13" fillId="11" borderId="8" xfId="0" applyNumberFormat="1" applyFont="1" applyFill="1" applyBorder="1" applyAlignment="1">
      <alignment horizontal="right"/>
    </xf>
    <xf numFmtId="0" fontId="13" fillId="11" borderId="6" xfId="0" applyFont="1" applyFill="1" applyBorder="1" applyAlignment="1">
      <alignment horizontal="right"/>
    </xf>
    <xf numFmtId="4" fontId="9" fillId="8" borderId="8" xfId="0" applyNumberFormat="1" applyFont="1" applyFill="1" applyBorder="1" applyAlignment="1">
      <alignment horizontal="right" vertical="top"/>
    </xf>
    <xf numFmtId="0" fontId="9" fillId="8" borderId="6" xfId="0" applyFont="1" applyFill="1" applyBorder="1" applyAlignment="1">
      <alignment horizontal="right" vertical="top"/>
    </xf>
    <xf numFmtId="0" fontId="9" fillId="8" borderId="12" xfId="0" applyFont="1" applyFill="1" applyBorder="1" applyAlignment="1">
      <alignment horizontal="right" vertical="top"/>
    </xf>
    <xf numFmtId="4" fontId="9" fillId="8" borderId="1" xfId="0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4" fontId="9" fillId="8" borderId="3" xfId="0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right"/>
    </xf>
    <xf numFmtId="4" fontId="21" fillId="8" borderId="8" xfId="0" applyNumberFormat="1" applyFont="1" applyFill="1" applyBorder="1" applyAlignment="1">
      <alignment horizontal="right"/>
    </xf>
    <xf numFmtId="4" fontId="21" fillId="8" borderId="13" xfId="0" applyNumberFormat="1" applyFont="1" applyFill="1" applyBorder="1" applyAlignment="1">
      <alignment horizontal="right"/>
    </xf>
    <xf numFmtId="4" fontId="21" fillId="8" borderId="6" xfId="0" applyNumberFormat="1" applyFont="1" applyFill="1" applyBorder="1" applyAlignment="1">
      <alignment horizontal="right"/>
    </xf>
    <xf numFmtId="4" fontId="21" fillId="8" borderId="14" xfId="0" applyNumberFormat="1" applyFont="1" applyFill="1" applyBorder="1" applyAlignment="1">
      <alignment horizontal="right"/>
    </xf>
    <xf numFmtId="4" fontId="13" fillId="11" borderId="1" xfId="0" applyNumberFormat="1" applyFont="1" applyFill="1" applyBorder="1" applyAlignment="1">
      <alignment horizontal="right"/>
    </xf>
    <xf numFmtId="0" fontId="13" fillId="11" borderId="1" xfId="0" applyFont="1" applyFill="1" applyBorder="1" applyAlignment="1">
      <alignment horizontal="right"/>
    </xf>
    <xf numFmtId="4" fontId="13" fillId="11" borderId="3" xfId="0" applyNumberFormat="1" applyFont="1" applyFill="1" applyBorder="1" applyAlignment="1">
      <alignment horizontal="right"/>
    </xf>
    <xf numFmtId="0" fontId="13" fillId="11" borderId="3" xfId="0" applyFont="1" applyFill="1" applyBorder="1" applyAlignment="1">
      <alignment horizontal="right"/>
    </xf>
    <xf numFmtId="4" fontId="21" fillId="8" borderId="1" xfId="0" applyNumberFormat="1" applyFont="1" applyFill="1" applyBorder="1" applyAlignment="1">
      <alignment horizontal="right"/>
    </xf>
    <xf numFmtId="0" fontId="21" fillId="8" borderId="1" xfId="0" applyFont="1" applyFill="1" applyBorder="1" applyAlignment="1">
      <alignment horizontal="right"/>
    </xf>
    <xf numFmtId="4" fontId="21" fillId="8" borderId="3" xfId="0" applyNumberFormat="1" applyFont="1" applyFill="1" applyBorder="1" applyAlignment="1">
      <alignment horizontal="right"/>
    </xf>
    <xf numFmtId="0" fontId="21" fillId="8" borderId="3" xfId="0" applyFont="1" applyFill="1" applyBorder="1" applyAlignment="1">
      <alignment horizontal="right"/>
    </xf>
    <xf numFmtId="0" fontId="13" fillId="20" borderId="1" xfId="0" applyFont="1" applyFill="1" applyBorder="1" applyAlignment="1">
      <alignment horizontal="left" shrinkToFit="1"/>
    </xf>
    <xf numFmtId="0" fontId="13" fillId="20" borderId="2" xfId="0" applyFont="1" applyFill="1" applyBorder="1" applyAlignment="1">
      <alignment horizontal="left" shrinkToFit="1"/>
    </xf>
    <xf numFmtId="0" fontId="13" fillId="20" borderId="4" xfId="0" applyFont="1" applyFill="1" applyBorder="1" applyAlignment="1">
      <alignment horizontal="left" shrinkToFit="1"/>
    </xf>
    <xf numFmtId="4" fontId="15" fillId="8" borderId="7" xfId="0" applyNumberFormat="1" applyFont="1" applyFill="1" applyBorder="1" applyAlignment="1">
      <alignment horizontal="right"/>
    </xf>
    <xf numFmtId="4" fontId="15" fillId="8" borderId="14" xfId="0" applyNumberFormat="1" applyFont="1" applyFill="1" applyBorder="1" applyAlignment="1">
      <alignment horizontal="right"/>
    </xf>
    <xf numFmtId="4" fontId="15" fillId="8" borderId="12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left" shrinkToFit="1"/>
    </xf>
    <xf numFmtId="0" fontId="9" fillId="9" borderId="2" xfId="0" applyFont="1" applyFill="1" applyBorder="1" applyAlignment="1">
      <alignment horizontal="left" shrinkToFit="1"/>
    </xf>
    <xf numFmtId="0" fontId="9" fillId="9" borderId="4" xfId="0" applyFont="1" applyFill="1" applyBorder="1" applyAlignment="1">
      <alignment horizontal="left" shrinkToFi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8" borderId="8" xfId="0" applyFont="1" applyFill="1" applyBorder="1" applyAlignment="1">
      <alignment horizontal="left" vertical="center" wrapText="1" shrinkToFit="1"/>
    </xf>
    <xf numFmtId="0" fontId="9" fillId="8" borderId="9" xfId="0" applyFont="1" applyFill="1" applyBorder="1" applyAlignment="1">
      <alignment horizontal="left" vertical="center" wrapText="1" shrinkToFit="1"/>
    </xf>
    <xf numFmtId="0" fontId="9" fillId="8" borderId="10" xfId="0" applyFont="1" applyFill="1" applyBorder="1" applyAlignment="1">
      <alignment horizontal="left" vertical="center" wrapText="1" shrinkToFit="1"/>
    </xf>
    <xf numFmtId="0" fontId="9" fillId="8" borderId="13" xfId="0" applyFont="1" applyFill="1" applyBorder="1" applyAlignment="1">
      <alignment horizontal="left" vertical="center" wrapText="1" shrinkToFit="1"/>
    </xf>
    <xf numFmtId="0" fontId="9" fillId="8" borderId="0" xfId="0" applyFont="1" applyFill="1" applyAlignment="1">
      <alignment horizontal="left" vertical="center" wrapText="1" shrinkToFit="1"/>
    </xf>
    <xf numFmtId="0" fontId="9" fillId="8" borderId="15" xfId="0" applyFont="1" applyFill="1" applyBorder="1" applyAlignment="1">
      <alignment horizontal="left" vertical="center" wrapText="1" shrinkToFit="1"/>
    </xf>
    <xf numFmtId="0" fontId="9" fillId="8" borderId="6" xfId="0" applyFont="1" applyFill="1" applyBorder="1" applyAlignment="1">
      <alignment horizontal="left" vertical="center" wrapText="1" shrinkToFit="1"/>
    </xf>
    <xf numFmtId="0" fontId="9" fillId="8" borderId="5" xfId="0" applyFont="1" applyFill="1" applyBorder="1" applyAlignment="1">
      <alignment horizontal="left" vertical="center" wrapText="1" shrinkToFit="1"/>
    </xf>
    <xf numFmtId="0" fontId="9" fillId="8" borderId="11" xfId="0" applyFont="1" applyFill="1" applyBorder="1" applyAlignment="1">
      <alignment horizontal="left" vertical="center" wrapText="1" shrinkToFit="1"/>
    </xf>
    <xf numFmtId="4" fontId="13" fillId="9" borderId="1" xfId="0" applyNumberFormat="1" applyFont="1" applyFill="1" applyBorder="1" applyAlignment="1">
      <alignment horizontal="right" shrinkToFit="1"/>
    </xf>
    <xf numFmtId="0" fontId="13" fillId="9" borderId="1" xfId="0" applyFont="1" applyFill="1" applyBorder="1" applyAlignment="1">
      <alignment horizontal="right" shrinkToFit="1"/>
    </xf>
    <xf numFmtId="4" fontId="13" fillId="9" borderId="3" xfId="0" applyNumberFormat="1" applyFont="1" applyFill="1" applyBorder="1" applyAlignment="1">
      <alignment horizontal="right" shrinkToFit="1"/>
    </xf>
    <xf numFmtId="0" fontId="13" fillId="9" borderId="3" xfId="0" applyFont="1" applyFill="1" applyBorder="1" applyAlignment="1">
      <alignment horizontal="right" shrinkToFit="1"/>
    </xf>
    <xf numFmtId="4" fontId="13" fillId="9" borderId="7" xfId="0" applyNumberFormat="1" applyFont="1" applyFill="1" applyBorder="1" applyAlignment="1">
      <alignment horizontal="right" shrinkToFit="1"/>
    </xf>
    <xf numFmtId="4" fontId="13" fillId="9" borderId="12" xfId="0" applyNumberFormat="1" applyFont="1" applyFill="1" applyBorder="1" applyAlignment="1">
      <alignment horizontal="right" shrinkToFit="1"/>
    </xf>
    <xf numFmtId="0" fontId="13" fillId="9" borderId="3" xfId="0" applyFont="1" applyFill="1" applyBorder="1" applyAlignment="1">
      <alignment horizontal="left"/>
    </xf>
    <xf numFmtId="4" fontId="13" fillId="11" borderId="7" xfId="0" applyNumberFormat="1" applyFont="1" applyFill="1" applyBorder="1" applyAlignment="1">
      <alignment horizontal="right"/>
    </xf>
    <xf numFmtId="4" fontId="13" fillId="11" borderId="12" xfId="0" applyNumberFormat="1" applyFont="1" applyFill="1" applyBorder="1" applyAlignment="1">
      <alignment horizontal="right"/>
    </xf>
    <xf numFmtId="0" fontId="9" fillId="11" borderId="6" xfId="0" applyFont="1" applyFill="1" applyBorder="1" applyAlignment="1">
      <alignment horizontal="left"/>
    </xf>
    <xf numFmtId="0" fontId="9" fillId="11" borderId="5" xfId="0" applyFont="1" applyFill="1" applyBorder="1" applyAlignment="1">
      <alignment horizontal="left"/>
    </xf>
    <xf numFmtId="0" fontId="9" fillId="11" borderId="11" xfId="0" applyFont="1" applyFill="1" applyBorder="1" applyAlignment="1">
      <alignment horizontal="left"/>
    </xf>
    <xf numFmtId="0" fontId="13" fillId="11" borderId="1" xfId="0" applyFont="1" applyFill="1" applyBorder="1" applyAlignment="1">
      <alignment horizontal="left" shrinkToFit="1"/>
    </xf>
    <xf numFmtId="0" fontId="13" fillId="11" borderId="2" xfId="0" applyFont="1" applyFill="1" applyBorder="1" applyAlignment="1">
      <alignment horizontal="left" shrinkToFit="1"/>
    </xf>
    <xf numFmtId="0" fontId="13" fillId="11" borderId="4" xfId="0" applyFont="1" applyFill="1" applyBorder="1" applyAlignment="1">
      <alignment horizontal="left" shrinkToFit="1"/>
    </xf>
    <xf numFmtId="4" fontId="15" fillId="8" borderId="3" xfId="0" applyNumberFormat="1" applyFont="1" applyFill="1" applyBorder="1" applyAlignment="1">
      <alignment horizontal="right"/>
    </xf>
    <xf numFmtId="0" fontId="15" fillId="8" borderId="3" xfId="0" applyFont="1" applyFill="1" applyBorder="1" applyAlignment="1">
      <alignment horizontal="right"/>
    </xf>
    <xf numFmtId="4" fontId="1" fillId="8" borderId="3" xfId="0" applyNumberFormat="1" applyFont="1" applyFill="1" applyBorder="1" applyAlignment="1">
      <alignment horizontal="right"/>
    </xf>
    <xf numFmtId="0" fontId="1" fillId="8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shrinkToFit="1"/>
    </xf>
    <xf numFmtId="0" fontId="13" fillId="11" borderId="1" xfId="0" applyFont="1" applyFill="1" applyBorder="1" applyAlignment="1">
      <alignment horizontal="left"/>
    </xf>
    <xf numFmtId="0" fontId="13" fillId="11" borderId="2" xfId="0" applyFont="1" applyFill="1" applyBorder="1" applyAlignment="1">
      <alignment horizontal="left"/>
    </xf>
    <xf numFmtId="0" fontId="13" fillId="11" borderId="4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 shrinkToFit="1"/>
    </xf>
    <xf numFmtId="0" fontId="9" fillId="8" borderId="2" xfId="0" applyFont="1" applyFill="1" applyBorder="1" applyAlignment="1">
      <alignment horizontal="left" shrinkToFit="1"/>
    </xf>
    <xf numFmtId="0" fontId="9" fillId="8" borderId="4" xfId="0" applyFont="1" applyFill="1" applyBorder="1" applyAlignment="1">
      <alignment horizontal="left" shrinkToFit="1"/>
    </xf>
    <xf numFmtId="0" fontId="6" fillId="3" borderId="1" xfId="0" applyFont="1" applyFill="1" applyBorder="1" applyAlignment="1">
      <alignment horizontal="left" shrinkToFit="1"/>
    </xf>
    <xf numFmtId="0" fontId="6" fillId="3" borderId="2" xfId="0" applyFont="1" applyFill="1" applyBorder="1" applyAlignment="1">
      <alignment horizontal="left" shrinkToFit="1"/>
    </xf>
    <xf numFmtId="0" fontId="2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1" applyAlignment="1">
      <alignment horizontal="center" shrinkToFit="1"/>
    </xf>
    <xf numFmtId="0" fontId="8" fillId="0" borderId="0" xfId="1" applyAlignment="1">
      <alignment horizontal="left"/>
    </xf>
    <xf numFmtId="0" fontId="8" fillId="7" borderId="4" xfId="0" applyFont="1" applyFill="1" applyBorder="1" applyAlignment="1">
      <alignment horizontal="left" shrinkToFit="1"/>
    </xf>
    <xf numFmtId="4" fontId="13" fillId="8" borderId="3" xfId="0" applyNumberFormat="1" applyFont="1" applyFill="1" applyBorder="1"/>
    <xf numFmtId="0" fontId="13" fillId="8" borderId="3" xfId="0" applyFont="1" applyFill="1" applyBorder="1"/>
    <xf numFmtId="4" fontId="13" fillId="8" borderId="7" xfId="0" applyNumberFormat="1" applyFont="1" applyFill="1" applyBorder="1"/>
    <xf numFmtId="4" fontId="13" fillId="8" borderId="12" xfId="0" applyNumberFormat="1" applyFont="1" applyFill="1" applyBorder="1"/>
    <xf numFmtId="4" fontId="9" fillId="8" borderId="1" xfId="0" applyNumberFormat="1" applyFont="1" applyFill="1" applyBorder="1" applyAlignment="1">
      <alignment vertical="top"/>
    </xf>
    <xf numFmtId="0" fontId="9" fillId="8" borderId="1" xfId="0" applyFont="1" applyFill="1" applyBorder="1" applyAlignment="1">
      <alignment vertical="top"/>
    </xf>
    <xf numFmtId="0" fontId="9" fillId="8" borderId="8" xfId="0" applyFont="1" applyFill="1" applyBorder="1" applyAlignment="1">
      <alignment horizontal="left" wrapText="1" shrinkToFit="1"/>
    </xf>
    <xf numFmtId="0" fontId="9" fillId="8" borderId="9" xfId="0" applyFont="1" applyFill="1" applyBorder="1" applyAlignment="1">
      <alignment horizontal="left" wrapText="1" shrinkToFit="1"/>
    </xf>
    <xf numFmtId="0" fontId="9" fillId="8" borderId="10" xfId="0" applyFont="1" applyFill="1" applyBorder="1" applyAlignment="1">
      <alignment horizontal="left" wrapText="1" shrinkToFit="1"/>
    </xf>
    <xf numFmtId="4" fontId="13" fillId="8" borderId="7" xfId="0" applyNumberFormat="1" applyFont="1" applyFill="1" applyBorder="1" applyAlignment="1">
      <alignment horizontal="right"/>
    </xf>
    <xf numFmtId="4" fontId="13" fillId="8" borderId="12" xfId="0" applyNumberFormat="1" applyFont="1" applyFill="1" applyBorder="1" applyAlignment="1">
      <alignment horizontal="right"/>
    </xf>
    <xf numFmtId="0" fontId="13" fillId="9" borderId="1" xfId="0" applyFont="1" applyFill="1" applyBorder="1" applyAlignment="1">
      <alignment horizontal="left"/>
    </xf>
    <xf numFmtId="0" fontId="13" fillId="9" borderId="2" xfId="0" applyFont="1" applyFill="1" applyBorder="1" applyAlignment="1">
      <alignment horizontal="left"/>
    </xf>
    <xf numFmtId="0" fontId="13" fillId="11" borderId="6" xfId="0" applyFont="1" applyFill="1" applyBorder="1" applyAlignment="1">
      <alignment horizontal="left"/>
    </xf>
    <xf numFmtId="0" fontId="13" fillId="11" borderId="5" xfId="0" applyFont="1" applyFill="1" applyBorder="1" applyAlignment="1">
      <alignment horizontal="left"/>
    </xf>
    <xf numFmtId="0" fontId="13" fillId="11" borderId="11" xfId="0" applyFont="1" applyFill="1" applyBorder="1" applyAlignment="1">
      <alignment horizontal="left"/>
    </xf>
    <xf numFmtId="0" fontId="13" fillId="11" borderId="12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13" fillId="8" borderId="12" xfId="0" applyFont="1" applyFill="1" applyBorder="1" applyAlignment="1">
      <alignment horizontal="right"/>
    </xf>
    <xf numFmtId="4" fontId="1" fillId="8" borderId="7" xfId="0" applyNumberFormat="1" applyFont="1" applyFill="1" applyBorder="1" applyAlignment="1">
      <alignment horizontal="right"/>
    </xf>
    <xf numFmtId="4" fontId="1" fillId="8" borderId="12" xfId="0" applyNumberFormat="1" applyFont="1" applyFill="1" applyBorder="1" applyAlignment="1">
      <alignment horizontal="right"/>
    </xf>
    <xf numFmtId="0" fontId="13" fillId="9" borderId="4" xfId="0" applyFont="1" applyFill="1" applyBorder="1" applyAlignment="1">
      <alignment horizontal="left"/>
    </xf>
    <xf numFmtId="4" fontId="13" fillId="8" borderId="3" xfId="0" applyNumberFormat="1" applyFont="1" applyFill="1" applyBorder="1" applyAlignment="1">
      <alignment horizontal="right"/>
    </xf>
    <xf numFmtId="0" fontId="13" fillId="8" borderId="3" xfId="0" applyFont="1" applyFill="1" applyBorder="1" applyAlignment="1">
      <alignment horizontal="right"/>
    </xf>
    <xf numFmtId="4" fontId="1" fillId="17" borderId="1" xfId="0" applyNumberFormat="1" applyFont="1" applyFill="1" applyBorder="1"/>
    <xf numFmtId="0" fontId="8" fillId="0" borderId="1" xfId="0" applyFont="1" applyBorder="1"/>
    <xf numFmtId="0" fontId="8" fillId="0" borderId="2" xfId="0" applyFont="1" applyBorder="1"/>
    <xf numFmtId="4" fontId="1" fillId="17" borderId="3" xfId="0" applyNumberFormat="1" applyFont="1" applyFill="1" applyBorder="1"/>
    <xf numFmtId="0" fontId="8" fillId="2" borderId="3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9" fillId="8" borderId="3" xfId="0" applyFont="1" applyFill="1" applyBorder="1"/>
    <xf numFmtId="0" fontId="9" fillId="8" borderId="1" xfId="0" applyFont="1" applyFill="1" applyBorder="1"/>
    <xf numFmtId="0" fontId="9" fillId="17" borderId="1" xfId="0" applyFont="1" applyFill="1" applyBorder="1"/>
    <xf numFmtId="0" fontId="9" fillId="17" borderId="2" xfId="0" applyFont="1" applyFill="1" applyBorder="1"/>
    <xf numFmtId="0" fontId="8" fillId="0" borderId="3" xfId="0" applyFont="1" applyBorder="1"/>
    <xf numFmtId="0" fontId="9" fillId="17" borderId="8" xfId="0" applyFont="1" applyFill="1" applyBorder="1" applyAlignment="1">
      <alignment shrinkToFit="1"/>
    </xf>
    <xf numFmtId="0" fontId="9" fillId="17" borderId="9" xfId="0" applyFont="1" applyFill="1" applyBorder="1" applyAlignment="1">
      <alignment shrinkToFit="1"/>
    </xf>
    <xf numFmtId="0" fontId="9" fillId="17" borderId="10" xfId="0" applyFont="1" applyFill="1" applyBorder="1" applyAlignment="1">
      <alignment shrinkToFit="1"/>
    </xf>
    <xf numFmtId="0" fontId="9" fillId="8" borderId="3" xfId="0" applyFont="1" applyFill="1" applyBorder="1" applyAlignment="1">
      <alignment shrinkToFit="1"/>
    </xf>
    <xf numFmtId="0" fontId="9" fillId="8" borderId="1" xfId="0" applyFont="1" applyFill="1" applyBorder="1" applyAlignment="1">
      <alignment shrinkToFit="1"/>
    </xf>
    <xf numFmtId="0" fontId="12" fillId="5" borderId="1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9" fillId="17" borderId="6" xfId="0" applyFont="1" applyFill="1" applyBorder="1" applyAlignment="1">
      <alignment shrinkToFit="1"/>
    </xf>
    <xf numFmtId="0" fontId="9" fillId="17" borderId="5" xfId="0" applyFont="1" applyFill="1" applyBorder="1" applyAlignment="1">
      <alignment shrinkToFit="1"/>
    </xf>
    <xf numFmtId="0" fontId="9" fillId="17" borderId="11" xfId="0" applyFont="1" applyFill="1" applyBorder="1" applyAlignment="1">
      <alignment shrinkToFit="1"/>
    </xf>
    <xf numFmtId="4" fontId="1" fillId="17" borderId="7" xfId="0" applyNumberFormat="1" applyFont="1" applyFill="1" applyBorder="1" applyAlignment="1">
      <alignment horizontal="center"/>
    </xf>
    <xf numFmtId="4" fontId="1" fillId="17" borderId="12" xfId="0" applyNumberFormat="1" applyFont="1" applyFill="1" applyBorder="1" applyAlignment="1">
      <alignment horizontal="center"/>
    </xf>
    <xf numFmtId="4" fontId="1" fillId="17" borderId="8" xfId="0" applyNumberFormat="1" applyFont="1" applyFill="1" applyBorder="1" applyAlignment="1">
      <alignment horizontal="center"/>
    </xf>
    <xf numFmtId="4" fontId="1" fillId="17" borderId="6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8" borderId="3" xfId="0" applyFont="1" applyFill="1" applyBorder="1" applyAlignment="1">
      <alignment horizontal="left"/>
    </xf>
    <xf numFmtId="0" fontId="9" fillId="17" borderId="1" xfId="0" applyFont="1" applyFill="1" applyBorder="1" applyAlignment="1">
      <alignment horizontal="left"/>
    </xf>
    <xf numFmtId="0" fontId="9" fillId="17" borderId="2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4" fontId="1" fillId="0" borderId="3" xfId="0" applyNumberFormat="1" applyFont="1" applyBorder="1" applyAlignment="1">
      <alignment horizontal="right"/>
    </xf>
    <xf numFmtId="4" fontId="1" fillId="17" borderId="3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17" borderId="8" xfId="0" applyFont="1" applyFill="1" applyBorder="1" applyAlignment="1">
      <alignment horizontal="left" shrinkToFit="1"/>
    </xf>
    <xf numFmtId="0" fontId="9" fillId="17" borderId="9" xfId="0" applyFont="1" applyFill="1" applyBorder="1" applyAlignment="1">
      <alignment horizontal="left" shrinkToFit="1"/>
    </xf>
    <xf numFmtId="0" fontId="9" fillId="17" borderId="10" xfId="0" applyFont="1" applyFill="1" applyBorder="1" applyAlignment="1">
      <alignment horizontal="left" shrinkToFit="1"/>
    </xf>
    <xf numFmtId="0" fontId="9" fillId="17" borderId="6" xfId="0" applyFont="1" applyFill="1" applyBorder="1" applyAlignment="1">
      <alignment horizontal="left" shrinkToFit="1"/>
    </xf>
    <xf numFmtId="0" fontId="9" fillId="17" borderId="5" xfId="0" applyFont="1" applyFill="1" applyBorder="1" applyAlignment="1">
      <alignment horizontal="left" shrinkToFit="1"/>
    </xf>
    <xf numFmtId="0" fontId="9" fillId="17" borderId="11" xfId="0" applyFont="1" applyFill="1" applyBorder="1" applyAlignment="1">
      <alignment horizontal="left" shrinkToFit="1"/>
    </xf>
    <xf numFmtId="0" fontId="8" fillId="2" borderId="3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13" fillId="15" borderId="1" xfId="0" applyFont="1" applyFill="1" applyBorder="1" applyAlignment="1">
      <alignment horizontal="left" shrinkToFit="1"/>
    </xf>
    <xf numFmtId="0" fontId="13" fillId="15" borderId="2" xfId="0" applyFont="1" applyFill="1" applyBorder="1" applyAlignment="1">
      <alignment horizontal="left" shrinkToFit="1"/>
    </xf>
    <xf numFmtId="0" fontId="13" fillId="15" borderId="4" xfId="0" applyFont="1" applyFill="1" applyBorder="1" applyAlignment="1">
      <alignment horizontal="left" shrinkToFit="1"/>
    </xf>
    <xf numFmtId="0" fontId="13" fillId="14" borderId="6" xfId="0" applyFont="1" applyFill="1" applyBorder="1" applyAlignment="1">
      <alignment horizontal="left"/>
    </xf>
    <xf numFmtId="0" fontId="13" fillId="14" borderId="5" xfId="0" applyFont="1" applyFill="1" applyBorder="1" applyAlignment="1">
      <alignment horizontal="left"/>
    </xf>
    <xf numFmtId="0" fontId="13" fillId="14" borderId="11" xfId="0" applyFont="1" applyFill="1" applyBorder="1" applyAlignment="1">
      <alignment horizontal="left"/>
    </xf>
    <xf numFmtId="4" fontId="9" fillId="15" borderId="7" xfId="0" applyNumberFormat="1" applyFont="1" applyFill="1" applyBorder="1" applyAlignment="1">
      <alignment horizontal="right"/>
    </xf>
    <xf numFmtId="4" fontId="9" fillId="15" borderId="12" xfId="0" applyNumberFormat="1" applyFont="1" applyFill="1" applyBorder="1" applyAlignment="1">
      <alignment horizontal="right"/>
    </xf>
    <xf numFmtId="0" fontId="9" fillId="16" borderId="1" xfId="0" applyFont="1" applyFill="1" applyBorder="1" applyAlignment="1">
      <alignment horizontal="left"/>
    </xf>
    <xf numFmtId="0" fontId="9" fillId="16" borderId="2" xfId="0" applyFont="1" applyFill="1" applyBorder="1" applyAlignment="1">
      <alignment horizontal="left"/>
    </xf>
    <xf numFmtId="0" fontId="9" fillId="16" borderId="4" xfId="0" applyFont="1" applyFill="1" applyBorder="1" applyAlignment="1">
      <alignment horizontal="left"/>
    </xf>
    <xf numFmtId="0" fontId="9" fillId="0" borderId="0" xfId="0" applyFont="1" applyAlignment="1">
      <alignment horizontal="left" shrinkToFit="1"/>
    </xf>
    <xf numFmtId="0" fontId="8" fillId="2" borderId="0" xfId="0" applyFont="1" applyFill="1" applyAlignment="1">
      <alignment horizontal="left"/>
    </xf>
    <xf numFmtId="4" fontId="13" fillId="14" borderId="3" xfId="0" applyNumberFormat="1" applyFont="1" applyFill="1" applyBorder="1" applyAlignment="1">
      <alignment horizontal="right"/>
    </xf>
    <xf numFmtId="0" fontId="9" fillId="15" borderId="1" xfId="0" applyFont="1" applyFill="1" applyBorder="1" applyAlignment="1">
      <alignment horizontal="left" shrinkToFit="1"/>
    </xf>
    <xf numFmtId="0" fontId="9" fillId="15" borderId="2" xfId="0" applyFont="1" applyFill="1" applyBorder="1" applyAlignment="1">
      <alignment horizontal="left" shrinkToFit="1"/>
    </xf>
    <xf numFmtId="0" fontId="9" fillId="15" borderId="4" xfId="0" applyFont="1" applyFill="1" applyBorder="1" applyAlignment="1">
      <alignment horizontal="left" shrinkToFit="1"/>
    </xf>
    <xf numFmtId="0" fontId="9" fillId="15" borderId="6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/>
    </xf>
    <xf numFmtId="0" fontId="9" fillId="15" borderId="11" xfId="0" applyFont="1" applyFill="1" applyBorder="1" applyAlignment="1">
      <alignment horizontal="left"/>
    </xf>
    <xf numFmtId="4" fontId="9" fillId="15" borderId="9" xfId="0" applyNumberFormat="1" applyFont="1" applyFill="1" applyBorder="1" applyAlignment="1">
      <alignment horizontal="right"/>
    </xf>
    <xf numFmtId="4" fontId="9" fillId="15" borderId="0" xfId="0" applyNumberFormat="1" applyFont="1" applyFill="1" applyAlignment="1">
      <alignment horizontal="right"/>
    </xf>
    <xf numFmtId="4" fontId="9" fillId="15" borderId="8" xfId="0" applyNumberFormat="1" applyFont="1" applyFill="1" applyBorder="1" applyAlignment="1">
      <alignment horizontal="right"/>
    </xf>
    <xf numFmtId="4" fontId="9" fillId="15" borderId="6" xfId="0" applyNumberFormat="1" applyFont="1" applyFill="1" applyBorder="1" applyAlignment="1">
      <alignment horizontal="right"/>
    </xf>
    <xf numFmtId="4" fontId="9" fillId="15" borderId="13" xfId="0" applyNumberFormat="1" applyFont="1" applyFill="1" applyBorder="1" applyAlignment="1">
      <alignment horizontal="right"/>
    </xf>
    <xf numFmtId="4" fontId="9" fillId="15" borderId="3" xfId="0" applyNumberFormat="1" applyFont="1" applyFill="1" applyBorder="1" applyAlignment="1">
      <alignment horizontal="right"/>
    </xf>
    <xf numFmtId="4" fontId="9" fillId="6" borderId="3" xfId="0" applyNumberFormat="1" applyFont="1" applyFill="1" applyBorder="1" applyAlignment="1">
      <alignment horizontal="right"/>
    </xf>
    <xf numFmtId="4" fontId="9" fillId="0" borderId="0" xfId="0" applyNumberFormat="1" applyFont="1" applyAlignment="1">
      <alignment horizontal="right"/>
    </xf>
    <xf numFmtId="0" fontId="9" fillId="16" borderId="6" xfId="0" applyFont="1" applyFill="1" applyBorder="1" applyAlignment="1">
      <alignment horizontal="left"/>
    </xf>
    <xf numFmtId="0" fontId="9" fillId="16" borderId="5" xfId="0" applyFont="1" applyFill="1" applyBorder="1" applyAlignment="1">
      <alignment horizontal="left"/>
    </xf>
    <xf numFmtId="0" fontId="9" fillId="16" borderId="11" xfId="0" applyFont="1" applyFill="1" applyBorder="1" applyAlignment="1">
      <alignment horizontal="left"/>
    </xf>
    <xf numFmtId="0" fontId="9" fillId="16" borderId="8" xfId="0" applyFont="1" applyFill="1" applyBorder="1" applyAlignment="1">
      <alignment horizontal="left" shrinkToFit="1"/>
    </xf>
    <xf numFmtId="0" fontId="9" fillId="16" borderId="9" xfId="0" applyFont="1" applyFill="1" applyBorder="1" applyAlignment="1">
      <alignment horizontal="left" shrinkToFit="1"/>
    </xf>
    <xf numFmtId="0" fontId="9" fillId="16" borderId="10" xfId="0" applyFont="1" applyFill="1" applyBorder="1" applyAlignment="1">
      <alignment horizontal="left" shrinkToFit="1"/>
    </xf>
    <xf numFmtId="4" fontId="9" fillId="16" borderId="0" xfId="0" applyNumberFormat="1" applyFont="1" applyFill="1" applyAlignment="1">
      <alignment horizontal="right"/>
    </xf>
    <xf numFmtId="0" fontId="8" fillId="7" borderId="4" xfId="0" applyFont="1" applyFill="1" applyBorder="1" applyAlignment="1">
      <alignment horizontal="left"/>
    </xf>
    <xf numFmtId="4" fontId="9" fillId="15" borderId="8" xfId="0" applyNumberFormat="1" applyFont="1" applyFill="1" applyBorder="1" applyAlignment="1">
      <alignment horizontal="center"/>
    </xf>
    <xf numFmtId="4" fontId="9" fillId="15" borderId="6" xfId="0" applyNumberFormat="1" applyFont="1" applyFill="1" applyBorder="1" applyAlignment="1">
      <alignment horizontal="center"/>
    </xf>
    <xf numFmtId="4" fontId="9" fillId="15" borderId="7" xfId="0" applyNumberFormat="1" applyFont="1" applyFill="1" applyBorder="1" applyAlignment="1">
      <alignment horizontal="center"/>
    </xf>
    <xf numFmtId="4" fontId="9" fillId="15" borderId="12" xfId="0" applyNumberFormat="1" applyFont="1" applyFill="1" applyBorder="1" applyAlignment="1">
      <alignment horizontal="center"/>
    </xf>
    <xf numFmtId="4" fontId="9" fillId="15" borderId="0" xfId="0" applyNumberFormat="1" applyFont="1" applyFill="1" applyAlignment="1">
      <alignment horizontal="center"/>
    </xf>
    <xf numFmtId="4" fontId="9" fillId="16" borderId="0" xfId="0" applyNumberFormat="1" applyFont="1" applyFill="1" applyAlignment="1">
      <alignment horizontal="center"/>
    </xf>
    <xf numFmtId="0" fontId="9" fillId="18" borderId="1" xfId="0" applyFont="1" applyFill="1" applyBorder="1" applyAlignment="1">
      <alignment horizontal="left"/>
    </xf>
    <xf numFmtId="0" fontId="9" fillId="18" borderId="2" xfId="0" applyFont="1" applyFill="1" applyBorder="1" applyAlignment="1">
      <alignment horizontal="left"/>
    </xf>
    <xf numFmtId="0" fontId="9" fillId="18" borderId="4" xfId="0" applyFont="1" applyFill="1" applyBorder="1" applyAlignment="1">
      <alignment horizontal="left"/>
    </xf>
    <xf numFmtId="0" fontId="9" fillId="19" borderId="1" xfId="0" applyFont="1" applyFill="1" applyBorder="1" applyAlignment="1">
      <alignment horizontal="left"/>
    </xf>
    <xf numFmtId="0" fontId="9" fillId="19" borderId="2" xfId="0" applyFont="1" applyFill="1" applyBorder="1" applyAlignment="1">
      <alignment horizontal="left"/>
    </xf>
    <xf numFmtId="0" fontId="9" fillId="19" borderId="4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15" borderId="3" xfId="0" applyFont="1" applyFill="1" applyBorder="1" applyAlignment="1">
      <alignment horizontal="left" shrinkToFit="1"/>
    </xf>
    <xf numFmtId="0" fontId="9" fillId="6" borderId="1" xfId="0" applyFont="1" applyFill="1" applyBorder="1" applyAlignment="1">
      <alignment horizontal="left" shrinkToFit="1"/>
    </xf>
    <xf numFmtId="0" fontId="9" fillId="6" borderId="2" xfId="0" applyFont="1" applyFill="1" applyBorder="1" applyAlignment="1">
      <alignment horizontal="left" shrinkToFit="1"/>
    </xf>
    <xf numFmtId="0" fontId="9" fillId="6" borderId="4" xfId="0" applyFont="1" applyFill="1" applyBorder="1" applyAlignment="1">
      <alignment horizontal="left" shrinkToFit="1"/>
    </xf>
    <xf numFmtId="0" fontId="0" fillId="2" borderId="0" xfId="0" applyFill="1" applyAlignment="1">
      <alignment horizontal="left"/>
    </xf>
    <xf numFmtId="0" fontId="8" fillId="0" borderId="0" xfId="0" applyFont="1" applyAlignment="1">
      <alignment horizontal="left" shrinkToFit="1"/>
    </xf>
    <xf numFmtId="0" fontId="9" fillId="6" borderId="1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left"/>
    </xf>
    <xf numFmtId="0" fontId="9" fillId="10" borderId="2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left"/>
    </xf>
    <xf numFmtId="0" fontId="9" fillId="15" borderId="1" xfId="0" applyFont="1" applyFill="1" applyBorder="1" applyAlignment="1">
      <alignment shrinkToFit="1"/>
    </xf>
    <xf numFmtId="0" fontId="9" fillId="15" borderId="2" xfId="0" applyFont="1" applyFill="1" applyBorder="1" applyAlignment="1">
      <alignment shrinkToFit="1"/>
    </xf>
    <xf numFmtId="0" fontId="9" fillId="15" borderId="4" xfId="0" applyFont="1" applyFill="1" applyBorder="1" applyAlignment="1">
      <alignment shrinkToFit="1"/>
    </xf>
    <xf numFmtId="0" fontId="13" fillId="14" borderId="1" xfId="0" applyFont="1" applyFill="1" applyBorder="1" applyAlignment="1">
      <alignment shrinkToFit="1"/>
    </xf>
    <xf numFmtId="0" fontId="13" fillId="14" borderId="2" xfId="0" applyFont="1" applyFill="1" applyBorder="1" applyAlignment="1">
      <alignment shrinkToFit="1"/>
    </xf>
    <xf numFmtId="0" fontId="13" fillId="14" borderId="4" xfId="0" applyFont="1" applyFill="1" applyBorder="1" applyAlignment="1">
      <alignment shrinkToFit="1"/>
    </xf>
    <xf numFmtId="0" fontId="9" fillId="15" borderId="1" xfId="0" applyFont="1" applyFill="1" applyBorder="1" applyAlignment="1">
      <alignment horizontal="left" wrapText="1"/>
    </xf>
    <xf numFmtId="0" fontId="9" fillId="15" borderId="2" xfId="0" applyFont="1" applyFill="1" applyBorder="1" applyAlignment="1">
      <alignment horizontal="left" wrapText="1"/>
    </xf>
    <xf numFmtId="0" fontId="9" fillId="15" borderId="4" xfId="0" applyFont="1" applyFill="1" applyBorder="1" applyAlignment="1">
      <alignment horizontal="left" wrapText="1"/>
    </xf>
    <xf numFmtId="0" fontId="9" fillId="16" borderId="1" xfId="0" applyFont="1" applyFill="1" applyBorder="1" applyAlignment="1">
      <alignment horizontal="left" shrinkToFit="1"/>
    </xf>
    <xf numFmtId="0" fontId="9" fillId="16" borderId="2" xfId="0" applyFont="1" applyFill="1" applyBorder="1" applyAlignment="1">
      <alignment horizontal="left" shrinkToFit="1"/>
    </xf>
    <xf numFmtId="0" fontId="9" fillId="16" borderId="4" xfId="0" applyFont="1" applyFill="1" applyBorder="1" applyAlignment="1">
      <alignment horizontal="left" shrinkToFit="1"/>
    </xf>
    <xf numFmtId="0" fontId="9" fillId="5" borderId="1" xfId="0" applyFont="1" applyFill="1" applyBorder="1" applyAlignment="1">
      <alignment horizontal="left" shrinkToFit="1"/>
    </xf>
    <xf numFmtId="0" fontId="9" fillId="5" borderId="2" xfId="0" applyFont="1" applyFill="1" applyBorder="1" applyAlignment="1">
      <alignment horizontal="left" shrinkToFit="1"/>
    </xf>
    <xf numFmtId="0" fontId="9" fillId="5" borderId="4" xfId="0" applyFont="1" applyFill="1" applyBorder="1" applyAlignment="1">
      <alignment horizontal="left" shrinkToFit="1"/>
    </xf>
    <xf numFmtId="0" fontId="9" fillId="5" borderId="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6" fillId="15" borderId="1" xfId="0" applyFont="1" applyFill="1" applyBorder="1" applyAlignment="1">
      <alignment horizontal="left" shrinkToFit="1"/>
    </xf>
    <xf numFmtId="0" fontId="6" fillId="15" borderId="2" xfId="0" applyFont="1" applyFill="1" applyBorder="1" applyAlignment="1">
      <alignment horizontal="left" shrinkToFit="1"/>
    </xf>
    <xf numFmtId="0" fontId="6" fillId="15" borderId="4" xfId="0" applyFont="1" applyFill="1" applyBorder="1" applyAlignment="1">
      <alignment horizontal="left" shrinkToFit="1"/>
    </xf>
    <xf numFmtId="0" fontId="9" fillId="16" borderId="1" xfId="0" applyFont="1" applyFill="1" applyBorder="1" applyAlignment="1">
      <alignment horizontal="left" wrapText="1"/>
    </xf>
    <xf numFmtId="0" fontId="9" fillId="16" borderId="2" xfId="0" applyFont="1" applyFill="1" applyBorder="1" applyAlignment="1">
      <alignment horizontal="left" wrapText="1"/>
    </xf>
    <xf numFmtId="0" fontId="9" fillId="16" borderId="4" xfId="0" applyFont="1" applyFill="1" applyBorder="1" applyAlignment="1">
      <alignment horizontal="left" wrapText="1"/>
    </xf>
    <xf numFmtId="4" fontId="9" fillId="15" borderId="9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13" fillId="16" borderId="1" xfId="0" applyFont="1" applyFill="1" applyBorder="1" applyAlignment="1">
      <alignment horizontal="left" shrinkToFit="1"/>
    </xf>
    <xf numFmtId="0" fontId="13" fillId="16" borderId="2" xfId="0" applyFont="1" applyFill="1" applyBorder="1" applyAlignment="1">
      <alignment horizontal="left" shrinkToFit="1"/>
    </xf>
    <xf numFmtId="0" fontId="13" fillId="16" borderId="4" xfId="0" applyFont="1" applyFill="1" applyBorder="1" applyAlignment="1">
      <alignment horizontal="left" shrinkToFit="1"/>
    </xf>
    <xf numFmtId="0" fontId="8" fillId="2" borderId="13" xfId="0" applyFont="1" applyFill="1" applyBorder="1" applyAlignment="1">
      <alignment horizontal="left"/>
    </xf>
    <xf numFmtId="0" fontId="8" fillId="2" borderId="0" xfId="0" applyFont="1" applyFill="1" applyAlignment="1">
      <alignment horizontal="left" shrinkToFit="1"/>
    </xf>
    <xf numFmtId="0" fontId="9" fillId="15" borderId="8" xfId="0" applyFont="1" applyFill="1" applyBorder="1" applyAlignment="1">
      <alignment horizontal="left"/>
    </xf>
    <xf numFmtId="0" fontId="9" fillId="15" borderId="9" xfId="0" applyFont="1" applyFill="1" applyBorder="1" applyAlignment="1">
      <alignment horizontal="left"/>
    </xf>
    <xf numFmtId="0" fontId="9" fillId="15" borderId="10" xfId="0" applyFont="1" applyFill="1" applyBorder="1" applyAlignment="1">
      <alignment horizontal="left"/>
    </xf>
  </cellXfs>
  <cellStyles count="2">
    <cellStyle name="Normalno" xfId="0" builtinId="0"/>
    <cellStyle name="Normalno 4" xfId="1" xr:uid="{03C12450-20C9-43C8-BA9C-D1D3CA454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OP&#262;INA\PRORA&#268;UN\2024\1.%20izmjene\Prijedlog%201.%20izmjene.xlsx" TargetMode="External"/><Relationship Id="rId1" Type="http://schemas.openxmlformats.org/officeDocument/2006/relationships/externalLinkPath" Target="/Users/Korisnik/Desktop/OP&#262;INA/PRORA&#268;UN/2024/1.%20izmjene/Prijedlog%201.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"/>
      <sheetName val=" Račun prihoda i rashoda"/>
      <sheetName val="Prihodi i rashodi po izvorima"/>
      <sheetName val="Rashodi prema funkcijskoj kl"/>
      <sheetName val="Račun financiranja"/>
      <sheetName val="Prenesena sredstva "/>
      <sheetName val="POSEBNI DIO"/>
      <sheetName val="Prihodi radni primjer"/>
      <sheetName val="List1"/>
      <sheetName val="Rashodi radni primje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  <cell r="I3">
            <v>2071120.11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opLeftCell="A17" workbookViewId="0">
      <selection activeCell="M11" sqref="M11"/>
    </sheetView>
  </sheetViews>
  <sheetFormatPr defaultRowHeight="12" x14ac:dyDescent="0.2"/>
  <cols>
    <col min="1" max="1" width="14.28515625" style="214" customWidth="1"/>
    <col min="2" max="5" width="9.140625" style="214"/>
    <col min="6" max="6" width="25.85546875" style="214" customWidth="1"/>
    <col min="7" max="9" width="26.7109375" style="214" customWidth="1"/>
    <col min="10" max="16384" width="9.140625" style="214"/>
  </cols>
  <sheetData>
    <row r="1" spans="1:12" x14ac:dyDescent="0.2">
      <c r="H1" s="301"/>
      <c r="I1" s="301"/>
    </row>
    <row r="3" spans="1:12" ht="29.25" customHeight="1" x14ac:dyDescent="0.2">
      <c r="B3" s="465" t="s">
        <v>874</v>
      </c>
      <c r="C3" s="465"/>
      <c r="D3" s="465"/>
      <c r="E3" s="465"/>
      <c r="F3" s="465"/>
      <c r="G3" s="465"/>
      <c r="H3" s="465"/>
      <c r="I3" s="465"/>
      <c r="J3" s="465"/>
      <c r="K3" s="465"/>
      <c r="L3" s="302"/>
    </row>
    <row r="5" spans="1:12" ht="42" customHeight="1" x14ac:dyDescent="0.2">
      <c r="B5" s="473" t="s">
        <v>845</v>
      </c>
      <c r="C5" s="473"/>
      <c r="D5" s="473"/>
      <c r="E5" s="473"/>
      <c r="F5" s="473"/>
      <c r="G5" s="473"/>
      <c r="H5" s="473"/>
      <c r="I5" s="473"/>
    </row>
    <row r="6" spans="1:12" ht="9.75" customHeight="1" x14ac:dyDescent="0.2">
      <c r="B6" s="239"/>
      <c r="C6" s="239"/>
      <c r="D6" s="239"/>
      <c r="E6" s="239"/>
      <c r="F6" s="239"/>
      <c r="G6" s="239"/>
      <c r="H6" s="239"/>
      <c r="I6" s="239"/>
    </row>
    <row r="7" spans="1:12" x14ac:dyDescent="0.2">
      <c r="B7" s="473" t="s">
        <v>32</v>
      </c>
      <c r="C7" s="473"/>
      <c r="D7" s="473"/>
      <c r="E7" s="473"/>
      <c r="F7" s="473"/>
      <c r="G7" s="473"/>
      <c r="H7" s="481"/>
      <c r="I7" s="481"/>
    </row>
    <row r="8" spans="1:12" x14ac:dyDescent="0.2">
      <c r="B8" s="239"/>
      <c r="C8" s="239"/>
      <c r="D8" s="239"/>
      <c r="E8" s="239"/>
      <c r="F8" s="239"/>
      <c r="G8" s="239"/>
      <c r="H8" s="240"/>
      <c r="I8" s="240"/>
    </row>
    <row r="9" spans="1:12" x14ac:dyDescent="0.2">
      <c r="B9" s="480" t="s">
        <v>617</v>
      </c>
      <c r="C9" s="480"/>
      <c r="D9" s="480"/>
      <c r="E9" s="480"/>
      <c r="F9" s="480"/>
      <c r="G9" s="480"/>
      <c r="H9" s="480"/>
      <c r="I9" s="480"/>
    </row>
    <row r="10" spans="1:12" x14ac:dyDescent="0.2">
      <c r="B10" s="239"/>
      <c r="C10" s="239"/>
      <c r="D10" s="239"/>
      <c r="E10" s="239"/>
      <c r="F10" s="239"/>
      <c r="G10" s="239"/>
      <c r="H10" s="240"/>
      <c r="I10" s="240"/>
    </row>
    <row r="11" spans="1:12" ht="18" customHeight="1" x14ac:dyDescent="0.2">
      <c r="B11" s="473" t="s">
        <v>41</v>
      </c>
      <c r="C11" s="474"/>
      <c r="D11" s="474"/>
      <c r="E11" s="474"/>
      <c r="F11" s="474"/>
      <c r="G11" s="474"/>
      <c r="H11" s="474"/>
      <c r="I11" s="474"/>
    </row>
    <row r="12" spans="1:12" ht="18" customHeight="1" x14ac:dyDescent="0.2">
      <c r="B12" s="239"/>
      <c r="C12" s="302"/>
      <c r="D12" s="302"/>
      <c r="E12" s="302"/>
      <c r="F12" s="302"/>
      <c r="G12" s="302"/>
      <c r="H12" s="302"/>
      <c r="I12" s="302"/>
    </row>
    <row r="13" spans="1:12" x14ac:dyDescent="0.2">
      <c r="B13" s="484" t="s">
        <v>853</v>
      </c>
      <c r="C13" s="484"/>
      <c r="D13" s="484"/>
      <c r="E13" s="484"/>
      <c r="F13" s="484"/>
      <c r="G13" s="484"/>
      <c r="H13" s="484"/>
      <c r="I13" s="484"/>
      <c r="J13" s="484"/>
      <c r="K13" s="484"/>
    </row>
    <row r="14" spans="1:12" ht="15" customHeight="1" x14ac:dyDescent="0.2">
      <c r="A14" s="485" t="s">
        <v>841</v>
      </c>
      <c r="B14" s="485"/>
      <c r="C14" s="485"/>
      <c r="D14" s="485"/>
      <c r="E14" s="485"/>
      <c r="F14" s="485"/>
      <c r="G14" s="485"/>
      <c r="H14" s="485"/>
      <c r="I14" s="485"/>
      <c r="J14" s="485"/>
    </row>
    <row r="15" spans="1:12" ht="15" customHeight="1" x14ac:dyDescent="0.2">
      <c r="A15" s="454"/>
      <c r="B15" s="454"/>
      <c r="C15" s="454"/>
      <c r="D15" s="454"/>
      <c r="E15" s="454"/>
      <c r="F15" s="454"/>
      <c r="G15" s="454"/>
      <c r="H15" s="454"/>
      <c r="I15" s="454"/>
      <c r="J15" s="454"/>
    </row>
    <row r="16" spans="1:12" x14ac:dyDescent="0.2">
      <c r="B16" s="304"/>
      <c r="C16" s="305"/>
      <c r="D16" s="305"/>
      <c r="E16" s="305"/>
      <c r="F16" s="306"/>
      <c r="G16" s="307"/>
      <c r="H16" s="307"/>
      <c r="I16" s="308" t="s">
        <v>372</v>
      </c>
    </row>
    <row r="17" spans="2:10" ht="24" x14ac:dyDescent="0.2">
      <c r="B17" s="309"/>
      <c r="C17" s="310"/>
      <c r="D17" s="310"/>
      <c r="E17" s="311"/>
      <c r="F17" s="312"/>
      <c r="G17" s="313" t="s">
        <v>373</v>
      </c>
      <c r="H17" s="313" t="s">
        <v>472</v>
      </c>
      <c r="I17" s="313" t="s">
        <v>717</v>
      </c>
    </row>
    <row r="18" spans="2:10" x14ac:dyDescent="0.2">
      <c r="B18" s="477" t="s">
        <v>0</v>
      </c>
      <c r="C18" s="464"/>
      <c r="D18" s="464"/>
      <c r="E18" s="464"/>
      <c r="F18" s="482"/>
      <c r="G18" s="315">
        <f>G19+G20</f>
        <v>1815023</v>
      </c>
      <c r="H18" s="315">
        <f t="shared" ref="H18:I18" si="0">H19+H20</f>
        <v>-452515</v>
      </c>
      <c r="I18" s="315">
        <f t="shared" si="0"/>
        <v>1362508</v>
      </c>
      <c r="J18" s="238"/>
    </row>
    <row r="19" spans="2:10" x14ac:dyDescent="0.2">
      <c r="B19" s="483" t="s">
        <v>1</v>
      </c>
      <c r="C19" s="472"/>
      <c r="D19" s="472"/>
      <c r="E19" s="472"/>
      <c r="F19" s="476"/>
      <c r="G19" s="316">
        <v>1814523</v>
      </c>
      <c r="H19" s="316">
        <f>-447246-1269-4000</f>
        <v>-452515</v>
      </c>
      <c r="I19" s="316">
        <f>G19+H19</f>
        <v>1362008</v>
      </c>
      <c r="J19" s="238"/>
    </row>
    <row r="20" spans="2:10" x14ac:dyDescent="0.2">
      <c r="B20" s="475" t="s">
        <v>2</v>
      </c>
      <c r="C20" s="476"/>
      <c r="D20" s="476"/>
      <c r="E20" s="476"/>
      <c r="F20" s="476"/>
      <c r="G20" s="316">
        <v>500</v>
      </c>
      <c r="H20" s="316"/>
      <c r="I20" s="316">
        <f>G20+H20</f>
        <v>500</v>
      </c>
      <c r="J20" s="238"/>
    </row>
    <row r="21" spans="2:10" x14ac:dyDescent="0.2">
      <c r="B21" s="317" t="s">
        <v>3</v>
      </c>
      <c r="C21" s="314"/>
      <c r="D21" s="314"/>
      <c r="E21" s="314"/>
      <c r="F21" s="314"/>
      <c r="G21" s="315">
        <f t="shared" ref="G21:I21" si="1">G22+G23</f>
        <v>2097990.1100000003</v>
      </c>
      <c r="H21" s="315">
        <f t="shared" si="1"/>
        <v>-452515</v>
      </c>
      <c r="I21" s="315">
        <f t="shared" si="1"/>
        <v>1645475.11</v>
      </c>
      <c r="J21" s="238"/>
    </row>
    <row r="22" spans="2:10" x14ac:dyDescent="0.2">
      <c r="B22" s="471" t="s">
        <v>4</v>
      </c>
      <c r="C22" s="472"/>
      <c r="D22" s="472"/>
      <c r="E22" s="472"/>
      <c r="F22" s="472"/>
      <c r="G22" s="316">
        <v>1171990.1100000001</v>
      </c>
      <c r="H22" s="316">
        <f>-31065-4000</f>
        <v>-35065</v>
      </c>
      <c r="I22" s="318">
        <f>G22+H22</f>
        <v>1136925.1100000001</v>
      </c>
      <c r="J22" s="238"/>
    </row>
    <row r="23" spans="2:10" x14ac:dyDescent="0.2">
      <c r="B23" s="475" t="s">
        <v>5</v>
      </c>
      <c r="C23" s="476"/>
      <c r="D23" s="476"/>
      <c r="E23" s="476"/>
      <c r="F23" s="476"/>
      <c r="G23" s="316">
        <v>926000</v>
      </c>
      <c r="H23" s="316">
        <v>-417450</v>
      </c>
      <c r="I23" s="318">
        <f>G23+H23</f>
        <v>508550</v>
      </c>
      <c r="J23" s="238"/>
    </row>
    <row r="24" spans="2:10" x14ac:dyDescent="0.2">
      <c r="B24" s="463" t="s">
        <v>6</v>
      </c>
      <c r="C24" s="464"/>
      <c r="D24" s="464"/>
      <c r="E24" s="464"/>
      <c r="F24" s="464"/>
      <c r="G24" s="315">
        <f>G18-G21</f>
        <v>-282967.11000000034</v>
      </c>
      <c r="H24" s="315">
        <f t="shared" ref="H24:I24" si="2">H18-H21</f>
        <v>0</v>
      </c>
      <c r="I24" s="315">
        <f t="shared" si="2"/>
        <v>-282967.1100000001</v>
      </c>
      <c r="J24" s="238"/>
    </row>
    <row r="25" spans="2:10" x14ac:dyDescent="0.2">
      <c r="B25" s="239"/>
      <c r="C25" s="319"/>
      <c r="D25" s="319"/>
      <c r="E25" s="319"/>
      <c r="F25" s="319"/>
      <c r="G25" s="320"/>
      <c r="H25" s="321"/>
      <c r="I25" s="321"/>
    </row>
    <row r="26" spans="2:10" ht="18" customHeight="1" x14ac:dyDescent="0.2">
      <c r="B26" s="473" t="s">
        <v>40</v>
      </c>
      <c r="C26" s="474"/>
      <c r="D26" s="474"/>
      <c r="E26" s="474"/>
      <c r="F26" s="474"/>
      <c r="G26" s="474"/>
      <c r="H26" s="474"/>
      <c r="I26" s="474"/>
    </row>
    <row r="27" spans="2:10" x14ac:dyDescent="0.2">
      <c r="B27" s="239"/>
      <c r="C27" s="319"/>
      <c r="D27" s="319"/>
      <c r="E27" s="319"/>
      <c r="F27" s="319"/>
      <c r="G27" s="321"/>
      <c r="H27" s="321"/>
      <c r="I27" s="321"/>
    </row>
    <row r="28" spans="2:10" ht="24" x14ac:dyDescent="0.2">
      <c r="B28" s="309"/>
      <c r="C28" s="310"/>
      <c r="D28" s="310"/>
      <c r="E28" s="311"/>
      <c r="F28" s="312"/>
      <c r="G28" s="313" t="s">
        <v>373</v>
      </c>
      <c r="H28" s="313" t="s">
        <v>472</v>
      </c>
      <c r="I28" s="313" t="s">
        <v>717</v>
      </c>
    </row>
    <row r="29" spans="2:10" x14ac:dyDescent="0.2">
      <c r="B29" s="475" t="s">
        <v>375</v>
      </c>
      <c r="C29" s="476"/>
      <c r="D29" s="476"/>
      <c r="E29" s="476"/>
      <c r="F29" s="476"/>
      <c r="G29" s="322"/>
      <c r="H29" s="322"/>
      <c r="I29" s="323"/>
    </row>
    <row r="30" spans="2:10" x14ac:dyDescent="0.2">
      <c r="B30" s="475" t="s">
        <v>376</v>
      </c>
      <c r="C30" s="476"/>
      <c r="D30" s="476"/>
      <c r="E30" s="476"/>
      <c r="F30" s="476"/>
      <c r="G30" s="322"/>
      <c r="H30" s="322"/>
      <c r="I30" s="323"/>
    </row>
    <row r="31" spans="2:10" x14ac:dyDescent="0.2">
      <c r="B31" s="463" t="s">
        <v>8</v>
      </c>
      <c r="C31" s="464"/>
      <c r="D31" s="464"/>
      <c r="E31" s="464"/>
      <c r="F31" s="464"/>
      <c r="G31" s="315">
        <f t="shared" ref="G31:I31" si="3">G29-G30</f>
        <v>0</v>
      </c>
      <c r="H31" s="315">
        <f t="shared" si="3"/>
        <v>0</v>
      </c>
      <c r="I31" s="315">
        <f t="shared" si="3"/>
        <v>0</v>
      </c>
    </row>
    <row r="32" spans="2:10" x14ac:dyDescent="0.2">
      <c r="B32" s="463" t="s">
        <v>9</v>
      </c>
      <c r="C32" s="464"/>
      <c r="D32" s="464"/>
      <c r="E32" s="464"/>
      <c r="F32" s="464"/>
      <c r="G32" s="315">
        <f>G24+G31</f>
        <v>-282967.11000000034</v>
      </c>
      <c r="H32" s="315">
        <f t="shared" ref="H32:I32" si="4">H24+H31</f>
        <v>0</v>
      </c>
      <c r="I32" s="315">
        <f t="shared" si="4"/>
        <v>-282967.1100000001</v>
      </c>
    </row>
    <row r="33" spans="2:9" x14ac:dyDescent="0.2">
      <c r="B33" s="324"/>
      <c r="C33" s="319"/>
      <c r="D33" s="319"/>
      <c r="E33" s="319"/>
      <c r="F33" s="319"/>
      <c r="G33" s="321"/>
      <c r="H33" s="321"/>
      <c r="I33" s="321"/>
    </row>
    <row r="34" spans="2:9" ht="18" customHeight="1" x14ac:dyDescent="0.2">
      <c r="B34" s="473" t="s">
        <v>374</v>
      </c>
      <c r="C34" s="474"/>
      <c r="D34" s="474"/>
      <c r="E34" s="474"/>
      <c r="F34" s="474"/>
      <c r="G34" s="474"/>
      <c r="H34" s="474"/>
      <c r="I34" s="474"/>
    </row>
    <row r="35" spans="2:9" ht="18" customHeight="1" x14ac:dyDescent="0.2">
      <c r="B35" s="239"/>
      <c r="C35" s="302"/>
      <c r="D35" s="302"/>
      <c r="E35" s="302"/>
      <c r="F35" s="302"/>
      <c r="G35" s="302"/>
      <c r="H35" s="302"/>
      <c r="I35" s="302"/>
    </row>
    <row r="36" spans="2:9" ht="24" x14ac:dyDescent="0.2">
      <c r="B36" s="309"/>
      <c r="C36" s="310"/>
      <c r="D36" s="310"/>
      <c r="E36" s="311"/>
      <c r="F36" s="312"/>
      <c r="G36" s="313" t="s">
        <v>373</v>
      </c>
      <c r="H36" s="313" t="s">
        <v>472</v>
      </c>
      <c r="I36" s="313" t="s">
        <v>717</v>
      </c>
    </row>
    <row r="37" spans="2:9" ht="15" customHeight="1" x14ac:dyDescent="0.2">
      <c r="B37" s="466" t="s">
        <v>377</v>
      </c>
      <c r="C37" s="467"/>
      <c r="D37" s="467"/>
      <c r="E37" s="467"/>
      <c r="F37" s="468"/>
      <c r="G37" s="325">
        <v>282967.11</v>
      </c>
      <c r="H37" s="325"/>
      <c r="I37" s="326">
        <f>G37+H37</f>
        <v>282967.11</v>
      </c>
    </row>
    <row r="38" spans="2:9" ht="15" customHeight="1" x14ac:dyDescent="0.2">
      <c r="B38" s="463" t="s">
        <v>378</v>
      </c>
      <c r="C38" s="464"/>
      <c r="D38" s="464"/>
      <c r="E38" s="464"/>
      <c r="F38" s="464"/>
      <c r="G38" s="327"/>
      <c r="H38" s="327"/>
      <c r="I38" s="328"/>
    </row>
    <row r="39" spans="2:9" ht="45" customHeight="1" x14ac:dyDescent="0.2">
      <c r="B39" s="477" t="s">
        <v>379</v>
      </c>
      <c r="C39" s="478"/>
      <c r="D39" s="478"/>
      <c r="E39" s="478"/>
      <c r="F39" s="479"/>
      <c r="G39" s="327">
        <f>G24+G31+G37-G38</f>
        <v>-3.4924596548080444E-10</v>
      </c>
      <c r="H39" s="327">
        <f>H24+H31+H37-H38</f>
        <v>0</v>
      </c>
      <c r="I39" s="328">
        <f>I24+I31+I37-I38</f>
        <v>-1.1641532182693481E-10</v>
      </c>
    </row>
    <row r="40" spans="2:9" ht="18" customHeight="1" x14ac:dyDescent="0.2">
      <c r="B40" s="329"/>
      <c r="C40" s="330"/>
      <c r="D40" s="330"/>
      <c r="E40" s="330"/>
      <c r="F40" s="330"/>
      <c r="G40" s="330"/>
      <c r="H40" s="330"/>
      <c r="I40" s="330"/>
    </row>
    <row r="41" spans="2:9" ht="18" customHeight="1" x14ac:dyDescent="0.2">
      <c r="B41" s="480" t="s">
        <v>380</v>
      </c>
      <c r="C41" s="480"/>
      <c r="D41" s="480"/>
      <c r="E41" s="480"/>
      <c r="F41" s="480"/>
      <c r="G41" s="480"/>
      <c r="H41" s="480"/>
      <c r="I41" s="480"/>
    </row>
    <row r="42" spans="2:9" x14ac:dyDescent="0.2">
      <c r="B42" s="331"/>
      <c r="C42" s="332"/>
      <c r="D42" s="332"/>
      <c r="E42" s="332"/>
      <c r="F42" s="332"/>
      <c r="G42" s="303"/>
      <c r="H42" s="303"/>
      <c r="I42" s="303"/>
    </row>
    <row r="43" spans="2:9" ht="24" x14ac:dyDescent="0.2">
      <c r="B43" s="333"/>
      <c r="C43" s="334"/>
      <c r="D43" s="334"/>
      <c r="E43" s="335"/>
      <c r="F43" s="336"/>
      <c r="G43" s="313" t="s">
        <v>373</v>
      </c>
      <c r="H43" s="313" t="s">
        <v>472</v>
      </c>
      <c r="I43" s="313" t="s">
        <v>717</v>
      </c>
    </row>
    <row r="44" spans="2:9" x14ac:dyDescent="0.2">
      <c r="B44" s="466" t="s">
        <v>377</v>
      </c>
      <c r="C44" s="467"/>
      <c r="D44" s="467"/>
      <c r="E44" s="467"/>
      <c r="F44" s="468"/>
      <c r="G44" s="325">
        <v>0</v>
      </c>
      <c r="H44" s="325">
        <f>G47</f>
        <v>0</v>
      </c>
      <c r="I44" s="326">
        <f>H47</f>
        <v>0</v>
      </c>
    </row>
    <row r="45" spans="2:9" ht="28.5" customHeight="1" x14ac:dyDescent="0.2">
      <c r="B45" s="466" t="s">
        <v>7</v>
      </c>
      <c r="C45" s="467"/>
      <c r="D45" s="467"/>
      <c r="E45" s="467"/>
      <c r="F45" s="468"/>
      <c r="G45" s="325">
        <v>0</v>
      </c>
      <c r="H45" s="325">
        <v>0</v>
      </c>
      <c r="I45" s="326">
        <v>0</v>
      </c>
    </row>
    <row r="46" spans="2:9" x14ac:dyDescent="0.2">
      <c r="B46" s="466" t="s">
        <v>381</v>
      </c>
      <c r="C46" s="469"/>
      <c r="D46" s="469"/>
      <c r="E46" s="469"/>
      <c r="F46" s="470"/>
      <c r="G46" s="325">
        <v>0</v>
      </c>
      <c r="H46" s="325">
        <v>0</v>
      </c>
      <c r="I46" s="326">
        <v>0</v>
      </c>
    </row>
    <row r="47" spans="2:9" ht="15" customHeight="1" x14ac:dyDescent="0.2">
      <c r="B47" s="463" t="s">
        <v>378</v>
      </c>
      <c r="C47" s="464"/>
      <c r="D47" s="464"/>
      <c r="E47" s="464"/>
      <c r="F47" s="464"/>
      <c r="G47" s="337">
        <f t="shared" ref="G47:I47" si="5">G44-G45+G46</f>
        <v>0</v>
      </c>
      <c r="H47" s="337">
        <f t="shared" si="5"/>
        <v>0</v>
      </c>
      <c r="I47" s="338">
        <f t="shared" si="5"/>
        <v>0</v>
      </c>
    </row>
    <row r="48" spans="2:9" ht="17.25" customHeight="1" x14ac:dyDescent="0.2"/>
    <row r="49" spans="2:9" x14ac:dyDescent="0.2">
      <c r="B49" s="339"/>
      <c r="C49" s="340"/>
      <c r="D49" s="340"/>
      <c r="E49" s="340"/>
      <c r="F49" s="340"/>
      <c r="G49" s="341"/>
      <c r="H49" s="341"/>
      <c r="I49" s="341"/>
    </row>
  </sheetData>
  <mergeCells count="27">
    <mergeCell ref="B37:F37"/>
    <mergeCell ref="B23:F23"/>
    <mergeCell ref="B24:F24"/>
    <mergeCell ref="B5:I5"/>
    <mergeCell ref="B7:I7"/>
    <mergeCell ref="B18:F18"/>
    <mergeCell ref="B19:F19"/>
    <mergeCell ref="B20:F20"/>
    <mergeCell ref="B9:I9"/>
    <mergeCell ref="B13:K13"/>
    <mergeCell ref="A14:J14"/>
    <mergeCell ref="B38:F38"/>
    <mergeCell ref="B3:K3"/>
    <mergeCell ref="B45:F45"/>
    <mergeCell ref="B46:F46"/>
    <mergeCell ref="B47:F47"/>
    <mergeCell ref="B22:F22"/>
    <mergeCell ref="B11:I11"/>
    <mergeCell ref="B26:I26"/>
    <mergeCell ref="B29:F29"/>
    <mergeCell ref="B30:F30"/>
    <mergeCell ref="B39:F39"/>
    <mergeCell ref="B41:I41"/>
    <mergeCell ref="B44:F44"/>
    <mergeCell ref="B31:F31"/>
    <mergeCell ref="B32:F32"/>
    <mergeCell ref="B34:I34"/>
  </mergeCells>
  <pageMargins left="0.51181102362204722" right="0.31496062992125984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4"/>
  <sheetViews>
    <sheetView topLeftCell="A30" zoomScale="106" zoomScaleNormal="106" workbookViewId="0">
      <selection activeCell="D44" sqref="D44"/>
    </sheetView>
  </sheetViews>
  <sheetFormatPr defaultRowHeight="12" x14ac:dyDescent="0.2"/>
  <cols>
    <col min="1" max="1" width="9" style="214" customWidth="1"/>
    <col min="2" max="2" width="7.7109375" style="214" customWidth="1"/>
    <col min="3" max="3" width="8.7109375" style="214" customWidth="1"/>
    <col min="4" max="4" width="34" style="214" customWidth="1"/>
    <col min="5" max="6" width="19.140625" style="214" customWidth="1"/>
    <col min="7" max="7" width="25.28515625" style="214" customWidth="1"/>
    <col min="8" max="16384" width="9.140625" style="214"/>
  </cols>
  <sheetData>
    <row r="1" spans="2:9" x14ac:dyDescent="0.2">
      <c r="B1" s="473" t="s">
        <v>618</v>
      </c>
      <c r="C1" s="473"/>
      <c r="D1" s="473"/>
      <c r="E1" s="473"/>
      <c r="F1" s="473"/>
      <c r="G1" s="473"/>
    </row>
    <row r="2" spans="2:9" x14ac:dyDescent="0.2">
      <c r="B2" s="239"/>
      <c r="C2" s="239"/>
      <c r="D2" s="239"/>
      <c r="E2" s="239"/>
      <c r="F2" s="239"/>
      <c r="G2" s="239"/>
    </row>
    <row r="3" spans="2:9" ht="15" customHeight="1" x14ac:dyDescent="0.2">
      <c r="B3" s="487" t="s">
        <v>778</v>
      </c>
      <c r="C3" s="487"/>
      <c r="D3" s="487"/>
      <c r="E3" s="487"/>
      <c r="F3" s="487"/>
      <c r="G3" s="487"/>
      <c r="H3" s="487"/>
    </row>
    <row r="4" spans="2:9" ht="15" customHeight="1" x14ac:dyDescent="0.2">
      <c r="B4" s="487" t="s">
        <v>779</v>
      </c>
      <c r="C4" s="487"/>
      <c r="D4" s="487"/>
      <c r="E4" s="487"/>
      <c r="F4" s="487"/>
      <c r="G4" s="487"/>
      <c r="H4" s="487"/>
    </row>
    <row r="5" spans="2:9" x14ac:dyDescent="0.2">
      <c r="B5" s="246"/>
      <c r="C5" s="239"/>
      <c r="D5" s="239"/>
      <c r="E5" s="239"/>
      <c r="F5" s="240"/>
      <c r="G5" s="240"/>
    </row>
    <row r="6" spans="2:9" ht="18" customHeight="1" x14ac:dyDescent="0.2">
      <c r="B6" s="473" t="s">
        <v>11</v>
      </c>
      <c r="C6" s="474"/>
      <c r="D6" s="474"/>
      <c r="E6" s="474"/>
      <c r="F6" s="474"/>
      <c r="G6" s="474"/>
    </row>
    <row r="7" spans="2:9" x14ac:dyDescent="0.2">
      <c r="B7" s="239"/>
      <c r="C7" s="239"/>
      <c r="D7" s="239"/>
      <c r="E7" s="239"/>
      <c r="F7" s="240"/>
      <c r="G7" s="240"/>
    </row>
    <row r="8" spans="2:9" ht="17.25" customHeight="1" x14ac:dyDescent="0.2">
      <c r="B8" s="487" t="s">
        <v>780</v>
      </c>
      <c r="C8" s="487"/>
      <c r="D8" s="487"/>
      <c r="E8" s="487"/>
      <c r="F8" s="487"/>
      <c r="G8" s="487"/>
      <c r="H8" s="487"/>
      <c r="I8" s="393"/>
    </row>
    <row r="9" spans="2:9" ht="17.25" customHeight="1" x14ac:dyDescent="0.2">
      <c r="B9" s="488" t="s">
        <v>781</v>
      </c>
      <c r="C9" s="488"/>
      <c r="D9" s="488"/>
      <c r="E9" s="488"/>
      <c r="F9" s="488"/>
      <c r="G9" s="488"/>
      <c r="H9" s="488"/>
    </row>
    <row r="10" spans="2:9" ht="17.25" customHeight="1" x14ac:dyDescent="0.2">
      <c r="B10" s="342"/>
      <c r="C10" s="342"/>
      <c r="D10" s="342"/>
      <c r="E10" s="342"/>
      <c r="F10" s="342"/>
      <c r="G10" s="342"/>
    </row>
    <row r="11" spans="2:9" x14ac:dyDescent="0.2">
      <c r="B11" s="342"/>
      <c r="C11" s="342"/>
      <c r="D11" s="342"/>
      <c r="E11" s="342"/>
      <c r="F11" s="342"/>
      <c r="G11" s="342"/>
    </row>
    <row r="12" spans="2:9" x14ac:dyDescent="0.2">
      <c r="B12" s="473" t="s">
        <v>382</v>
      </c>
      <c r="C12" s="486"/>
      <c r="D12" s="486"/>
      <c r="E12" s="486"/>
      <c r="F12" s="486"/>
      <c r="G12" s="486"/>
    </row>
    <row r="13" spans="2:9" x14ac:dyDescent="0.2">
      <c r="B13" s="239"/>
      <c r="C13" s="239"/>
      <c r="D13" s="239"/>
      <c r="E13" s="239"/>
      <c r="F13" s="240"/>
      <c r="G13" s="240"/>
    </row>
    <row r="14" spans="2:9" ht="24" x14ac:dyDescent="0.2">
      <c r="B14" s="212" t="s">
        <v>12</v>
      </c>
      <c r="C14" s="213" t="s">
        <v>13</v>
      </c>
      <c r="D14" s="213" t="s">
        <v>10</v>
      </c>
      <c r="E14" s="212" t="s">
        <v>373</v>
      </c>
      <c r="F14" s="212" t="s">
        <v>472</v>
      </c>
      <c r="G14" s="212" t="s">
        <v>717</v>
      </c>
    </row>
    <row r="15" spans="2:9" ht="21.75" customHeight="1" x14ac:dyDescent="0.2">
      <c r="B15" s="215"/>
      <c r="C15" s="216"/>
      <c r="D15" s="344" t="s">
        <v>619</v>
      </c>
      <c r="E15" s="217">
        <f>E16+E28</f>
        <v>1815023</v>
      </c>
      <c r="F15" s="217">
        <f>F16+F28</f>
        <v>-452515</v>
      </c>
      <c r="G15" s="217">
        <f>G16+G28</f>
        <v>1362508</v>
      </c>
    </row>
    <row r="16" spans="2:9" ht="15.75" customHeight="1" x14ac:dyDescent="0.2">
      <c r="B16" s="218">
        <v>6</v>
      </c>
      <c r="C16" s="218"/>
      <c r="D16" s="218" t="s">
        <v>15</v>
      </c>
      <c r="E16" s="220">
        <f>E18+E20+E22+E24+E26</f>
        <v>1814523</v>
      </c>
      <c r="F16" s="220">
        <f>F18+F20+F22+F24+F26</f>
        <v>-452515</v>
      </c>
      <c r="G16" s="220">
        <f>G18+G20+G22+G24+G26</f>
        <v>1362008</v>
      </c>
    </row>
    <row r="17" spans="2:7" ht="10.5" customHeight="1" x14ac:dyDescent="0.2">
      <c r="B17" s="218"/>
      <c r="C17" s="218"/>
      <c r="D17" s="218"/>
      <c r="E17" s="220"/>
      <c r="F17" s="220"/>
      <c r="G17" s="220"/>
    </row>
    <row r="18" spans="2:7" ht="15" customHeight="1" x14ac:dyDescent="0.2">
      <c r="B18" s="218"/>
      <c r="C18" s="221">
        <v>61</v>
      </c>
      <c r="D18" s="345" t="s">
        <v>16</v>
      </c>
      <c r="E18" s="223">
        <v>324600</v>
      </c>
      <c r="F18" s="223">
        <f>37500-1269</f>
        <v>36231</v>
      </c>
      <c r="G18" s="223">
        <f>E18+F18</f>
        <v>360831</v>
      </c>
    </row>
    <row r="19" spans="2:7" ht="10.5" customHeight="1" x14ac:dyDescent="0.2">
      <c r="B19" s="224"/>
      <c r="C19" s="224"/>
      <c r="D19" s="226"/>
      <c r="E19" s="223"/>
      <c r="F19" s="223"/>
      <c r="G19" s="223"/>
    </row>
    <row r="20" spans="2:7" ht="30" customHeight="1" x14ac:dyDescent="0.2">
      <c r="B20" s="228"/>
      <c r="C20" s="228">
        <v>63</v>
      </c>
      <c r="D20" s="346" t="s">
        <v>45</v>
      </c>
      <c r="E20" s="223">
        <v>1167728</v>
      </c>
      <c r="F20" s="223">
        <v>-457706</v>
      </c>
      <c r="G20" s="223">
        <f t="shared" ref="G20:G29" si="0">E20+F20</f>
        <v>710022</v>
      </c>
    </row>
    <row r="21" spans="2:7" ht="10.5" customHeight="1" x14ac:dyDescent="0.2">
      <c r="B21" s="224"/>
      <c r="C21" s="224"/>
      <c r="D21" s="226"/>
      <c r="E21" s="223"/>
      <c r="F21" s="223"/>
      <c r="G21" s="223"/>
    </row>
    <row r="22" spans="2:7" ht="15" customHeight="1" x14ac:dyDescent="0.2">
      <c r="B22" s="228"/>
      <c r="C22" s="228">
        <v>64</v>
      </c>
      <c r="D22" s="347" t="s">
        <v>43</v>
      </c>
      <c r="E22" s="223">
        <v>199545</v>
      </c>
      <c r="F22" s="223">
        <v>-27240</v>
      </c>
      <c r="G22" s="223">
        <f t="shared" si="0"/>
        <v>172305</v>
      </c>
    </row>
    <row r="23" spans="2:7" x14ac:dyDescent="0.2">
      <c r="B23" s="224"/>
      <c r="C23" s="224"/>
      <c r="D23" s="226"/>
      <c r="E23" s="223"/>
      <c r="F23" s="223"/>
      <c r="G23" s="223"/>
    </row>
    <row r="24" spans="2:7" ht="36" x14ac:dyDescent="0.2">
      <c r="B24" s="228"/>
      <c r="C24" s="228">
        <v>65</v>
      </c>
      <c r="D24" s="346" t="s">
        <v>47</v>
      </c>
      <c r="E24" s="223">
        <v>121650</v>
      </c>
      <c r="F24" s="223">
        <v>-3550</v>
      </c>
      <c r="G24" s="223">
        <f t="shared" si="0"/>
        <v>118100</v>
      </c>
    </row>
    <row r="25" spans="2:7" ht="10.5" customHeight="1" x14ac:dyDescent="0.2">
      <c r="B25" s="224"/>
      <c r="C25" s="224"/>
      <c r="D25" s="226"/>
      <c r="E25" s="223"/>
      <c r="F25" s="223"/>
      <c r="G25" s="223"/>
    </row>
    <row r="26" spans="2:7" ht="42" customHeight="1" x14ac:dyDescent="0.2">
      <c r="B26" s="228"/>
      <c r="C26" s="228">
        <v>66</v>
      </c>
      <c r="D26" s="346" t="s">
        <v>48</v>
      </c>
      <c r="E26" s="223">
        <v>1000</v>
      </c>
      <c r="F26" s="223">
        <v>-250</v>
      </c>
      <c r="G26" s="223">
        <f t="shared" si="0"/>
        <v>750</v>
      </c>
    </row>
    <row r="27" spans="2:7" ht="10.5" customHeight="1" x14ac:dyDescent="0.2">
      <c r="B27" s="228"/>
      <c r="C27" s="228"/>
      <c r="D27" s="346"/>
      <c r="E27" s="227"/>
      <c r="F27" s="227"/>
      <c r="G27" s="223"/>
    </row>
    <row r="28" spans="2:7" ht="24" x14ac:dyDescent="0.2">
      <c r="B28" s="231">
        <v>7</v>
      </c>
      <c r="C28" s="231"/>
      <c r="D28" s="233" t="s">
        <v>18</v>
      </c>
      <c r="E28" s="220">
        <f t="shared" ref="E28:F28" si="1">E29</f>
        <v>500</v>
      </c>
      <c r="F28" s="220">
        <f t="shared" si="1"/>
        <v>0</v>
      </c>
      <c r="G28" s="316">
        <f t="shared" si="0"/>
        <v>500</v>
      </c>
    </row>
    <row r="29" spans="2:7" ht="30" customHeight="1" x14ac:dyDescent="0.2">
      <c r="B29" s="221"/>
      <c r="C29" s="221">
        <v>72</v>
      </c>
      <c r="D29" s="348" t="s">
        <v>46</v>
      </c>
      <c r="E29" s="223">
        <v>500</v>
      </c>
      <c r="F29" s="223"/>
      <c r="G29" s="223">
        <f t="shared" si="0"/>
        <v>500</v>
      </c>
    </row>
    <row r="30" spans="2:7" x14ac:dyDescent="0.2">
      <c r="F30" s="238"/>
      <c r="G30" s="238"/>
    </row>
    <row r="31" spans="2:7" x14ac:dyDescent="0.2">
      <c r="F31" s="238"/>
      <c r="G31" s="238"/>
    </row>
    <row r="32" spans="2:7" x14ac:dyDescent="0.2">
      <c r="F32" s="238"/>
      <c r="G32" s="238"/>
    </row>
    <row r="33" spans="2:7" x14ac:dyDescent="0.2">
      <c r="F33" s="238"/>
      <c r="G33" s="238"/>
    </row>
    <row r="34" spans="2:7" x14ac:dyDescent="0.2">
      <c r="F34" s="238"/>
      <c r="G34" s="238"/>
    </row>
    <row r="35" spans="2:7" x14ac:dyDescent="0.2">
      <c r="B35" s="473" t="s">
        <v>383</v>
      </c>
      <c r="C35" s="486"/>
      <c r="D35" s="486"/>
      <c r="E35" s="486"/>
      <c r="F35" s="486"/>
      <c r="G35" s="486"/>
    </row>
    <row r="36" spans="2:7" x14ac:dyDescent="0.2">
      <c r="B36" s="239"/>
      <c r="C36" s="239"/>
      <c r="D36" s="239"/>
      <c r="E36" s="239"/>
      <c r="F36" s="240"/>
      <c r="G36" s="240"/>
    </row>
    <row r="37" spans="2:7" ht="24" x14ac:dyDescent="0.2">
      <c r="B37" s="212" t="s">
        <v>12</v>
      </c>
      <c r="C37" s="213" t="s">
        <v>13</v>
      </c>
      <c r="D37" s="213" t="s">
        <v>20</v>
      </c>
      <c r="E37" s="212" t="s">
        <v>373</v>
      </c>
      <c r="F37" s="212" t="s">
        <v>472</v>
      </c>
      <c r="G37" s="212" t="s">
        <v>717</v>
      </c>
    </row>
    <row r="38" spans="2:7" ht="20.25" customHeight="1" x14ac:dyDescent="0.2">
      <c r="B38" s="215"/>
      <c r="C38" s="216"/>
      <c r="D38" s="344" t="s">
        <v>620</v>
      </c>
      <c r="E38" s="217">
        <f>E39+E54</f>
        <v>2097990.1100000003</v>
      </c>
      <c r="F38" s="217">
        <f>F39+F54</f>
        <v>-452515</v>
      </c>
      <c r="G38" s="217">
        <f>E38+F38</f>
        <v>1645475.1100000003</v>
      </c>
    </row>
    <row r="39" spans="2:7" ht="15.75" customHeight="1" x14ac:dyDescent="0.2">
      <c r="B39" s="218">
        <v>3</v>
      </c>
      <c r="C39" s="218"/>
      <c r="D39" s="218" t="s">
        <v>21</v>
      </c>
      <c r="E39" s="220">
        <f>E40+E42+E44+E46+E48+E50+E52</f>
        <v>1171990.1100000001</v>
      </c>
      <c r="F39" s="220">
        <f>F40+F42+F44+F46+F48+F50+F52</f>
        <v>-35065</v>
      </c>
      <c r="G39" s="220">
        <f>F39+E39</f>
        <v>1136925.1100000001</v>
      </c>
    </row>
    <row r="40" spans="2:7" ht="15" customHeight="1" x14ac:dyDescent="0.2">
      <c r="B40" s="218"/>
      <c r="C40" s="221">
        <v>31</v>
      </c>
      <c r="D40" s="345" t="s">
        <v>22</v>
      </c>
      <c r="E40" s="223">
        <v>470855</v>
      </c>
      <c r="F40" s="223">
        <f>1200+3207-37750</f>
        <v>-33343</v>
      </c>
      <c r="G40" s="223">
        <f>E40+F40</f>
        <v>437512</v>
      </c>
    </row>
    <row r="41" spans="2:7" x14ac:dyDescent="0.2">
      <c r="B41" s="224"/>
      <c r="C41" s="224"/>
      <c r="D41" s="226"/>
      <c r="E41" s="223"/>
      <c r="F41" s="223"/>
      <c r="G41" s="223"/>
    </row>
    <row r="42" spans="2:7" ht="15" customHeight="1" x14ac:dyDescent="0.2">
      <c r="B42" s="224"/>
      <c r="C42" s="236">
        <v>32</v>
      </c>
      <c r="D42" s="349" t="s">
        <v>35</v>
      </c>
      <c r="E42" s="223">
        <v>437408</v>
      </c>
      <c r="F42" s="223">
        <f>300+1500-4000+1966-500+7000-15000+100+700+10000+2000-500-100-1300-1000+200-4000+1610+500-550-4000</f>
        <v>-5074</v>
      </c>
      <c r="G42" s="223">
        <f t="shared" ref="G42:G52" si="2">E42+F42</f>
        <v>432334</v>
      </c>
    </row>
    <row r="43" spans="2:7" x14ac:dyDescent="0.2">
      <c r="B43" s="224"/>
      <c r="C43" s="224"/>
      <c r="D43" s="226"/>
      <c r="E43" s="223"/>
      <c r="F43" s="223"/>
      <c r="G43" s="223"/>
    </row>
    <row r="44" spans="2:7" ht="15" customHeight="1" x14ac:dyDescent="0.2">
      <c r="B44" s="224"/>
      <c r="C44" s="224">
        <v>34</v>
      </c>
      <c r="D44" s="226" t="s">
        <v>127</v>
      </c>
      <c r="E44" s="223">
        <v>4208</v>
      </c>
      <c r="F44" s="223">
        <f>-48</f>
        <v>-48</v>
      </c>
      <c r="G44" s="223">
        <f t="shared" si="2"/>
        <v>4160</v>
      </c>
    </row>
    <row r="45" spans="2:7" x14ac:dyDescent="0.2">
      <c r="B45" s="224"/>
      <c r="C45" s="224"/>
      <c r="D45" s="226"/>
      <c r="E45" s="223"/>
      <c r="F45" s="223"/>
      <c r="G45" s="223"/>
    </row>
    <row r="46" spans="2:7" ht="15" customHeight="1" x14ac:dyDescent="0.2">
      <c r="B46" s="224"/>
      <c r="C46" s="224">
        <v>35</v>
      </c>
      <c r="D46" s="226" t="s">
        <v>49</v>
      </c>
      <c r="E46" s="223">
        <v>25300</v>
      </c>
      <c r="F46" s="223">
        <f>-3000</f>
        <v>-3000</v>
      </c>
      <c r="G46" s="223">
        <f t="shared" si="2"/>
        <v>22300</v>
      </c>
    </row>
    <row r="47" spans="2:7" x14ac:dyDescent="0.2">
      <c r="B47" s="224"/>
      <c r="C47" s="224"/>
      <c r="D47" s="226"/>
      <c r="E47" s="223"/>
      <c r="F47" s="223"/>
      <c r="G47" s="223"/>
    </row>
    <row r="48" spans="2:7" ht="24" x14ac:dyDescent="0.2">
      <c r="B48" s="224"/>
      <c r="C48" s="224">
        <v>36</v>
      </c>
      <c r="D48" s="350" t="s">
        <v>50</v>
      </c>
      <c r="E48" s="223">
        <v>51092</v>
      </c>
      <c r="F48" s="223">
        <f>2000</f>
        <v>2000</v>
      </c>
      <c r="G48" s="223">
        <f t="shared" si="2"/>
        <v>53092</v>
      </c>
    </row>
    <row r="49" spans="2:7" x14ac:dyDescent="0.2">
      <c r="B49" s="224"/>
      <c r="C49" s="224"/>
      <c r="D49" s="226"/>
      <c r="E49" s="223"/>
      <c r="F49" s="223"/>
      <c r="G49" s="223"/>
    </row>
    <row r="50" spans="2:7" ht="30" customHeight="1" x14ac:dyDescent="0.2">
      <c r="B50" s="224"/>
      <c r="C50" s="224">
        <v>37</v>
      </c>
      <c r="D50" s="350" t="s">
        <v>51</v>
      </c>
      <c r="E50" s="223">
        <v>69600</v>
      </c>
      <c r="F50" s="223">
        <f>-300+8600</f>
        <v>8300</v>
      </c>
      <c r="G50" s="223">
        <f t="shared" si="2"/>
        <v>77900</v>
      </c>
    </row>
    <row r="51" spans="2:7" x14ac:dyDescent="0.2">
      <c r="B51" s="224"/>
      <c r="C51" s="224"/>
      <c r="D51" s="226"/>
      <c r="E51" s="223"/>
      <c r="F51" s="223"/>
      <c r="G51" s="223"/>
    </row>
    <row r="52" spans="2:7" ht="15" customHeight="1" x14ac:dyDescent="0.2">
      <c r="B52" s="224"/>
      <c r="C52" s="224">
        <v>38</v>
      </c>
      <c r="D52" s="226" t="s">
        <v>52</v>
      </c>
      <c r="E52" s="223">
        <v>113527.11</v>
      </c>
      <c r="F52" s="223">
        <f>-1000-100-1500-1300</f>
        <v>-3900</v>
      </c>
      <c r="G52" s="223">
        <f t="shared" si="2"/>
        <v>109627.11</v>
      </c>
    </row>
    <row r="53" spans="2:7" x14ac:dyDescent="0.2">
      <c r="B53" s="224"/>
      <c r="C53" s="224"/>
      <c r="D53" s="226"/>
      <c r="E53" s="227"/>
      <c r="F53" s="227"/>
      <c r="G53" s="223"/>
    </row>
    <row r="54" spans="2:7" ht="24" x14ac:dyDescent="0.2">
      <c r="B54" s="241">
        <v>4</v>
      </c>
      <c r="C54" s="241"/>
      <c r="D54" s="242" t="s">
        <v>23</v>
      </c>
      <c r="E54" s="220">
        <f>E56+E58</f>
        <v>926000</v>
      </c>
      <c r="F54" s="220">
        <f>F56+F58</f>
        <v>-417450</v>
      </c>
      <c r="G54" s="316">
        <f>E54+F54</f>
        <v>508550</v>
      </c>
    </row>
    <row r="55" spans="2:7" x14ac:dyDescent="0.2">
      <c r="B55" s="241"/>
      <c r="C55" s="241"/>
      <c r="D55" s="226"/>
      <c r="E55" s="220"/>
      <c r="F55" s="220"/>
      <c r="G55" s="223"/>
    </row>
    <row r="56" spans="2:7" ht="30" customHeight="1" x14ac:dyDescent="0.2">
      <c r="B56" s="221"/>
      <c r="C56" s="221">
        <v>42</v>
      </c>
      <c r="D56" s="348" t="s">
        <v>42</v>
      </c>
      <c r="E56" s="223">
        <v>739300</v>
      </c>
      <c r="F56" s="223">
        <f>850+-12000-500+1000+5000-321000+7000-1100-95000</f>
        <v>-415750</v>
      </c>
      <c r="G56" s="223">
        <f>E56+F56</f>
        <v>323550</v>
      </c>
    </row>
    <row r="57" spans="2:7" x14ac:dyDescent="0.2">
      <c r="B57" s="236"/>
      <c r="C57" s="236"/>
      <c r="D57" s="226"/>
      <c r="E57" s="223"/>
      <c r="F57" s="223"/>
      <c r="G57" s="223"/>
    </row>
    <row r="58" spans="2:7" ht="28.5" customHeight="1" x14ac:dyDescent="0.2">
      <c r="B58" s="221"/>
      <c r="C58" s="221">
        <v>45</v>
      </c>
      <c r="D58" s="348" t="s">
        <v>53</v>
      </c>
      <c r="E58" s="223">
        <v>186700</v>
      </c>
      <c r="F58" s="223">
        <f>-700-600-400</f>
        <v>-1700</v>
      </c>
      <c r="G58" s="223">
        <f t="shared" ref="G58" si="3">E58+F58</f>
        <v>185000</v>
      </c>
    </row>
    <row r="59" spans="2:7" hidden="1" x14ac:dyDescent="0.2">
      <c r="B59" s="236"/>
      <c r="C59" s="236"/>
      <c r="D59" s="226" t="s">
        <v>17</v>
      </c>
      <c r="E59" s="223"/>
      <c r="F59" s="223"/>
      <c r="G59" s="235"/>
    </row>
    <row r="60" spans="2:7" hidden="1" x14ac:dyDescent="0.2">
      <c r="B60" s="243"/>
      <c r="C60" s="243"/>
      <c r="D60" s="226" t="s">
        <v>133</v>
      </c>
      <c r="E60" s="244"/>
      <c r="F60" s="244"/>
      <c r="G60" s="244"/>
    </row>
    <row r="61" spans="2:7" hidden="1" x14ac:dyDescent="0.2">
      <c r="B61" s="243"/>
      <c r="C61" s="243"/>
      <c r="D61" s="226" t="s">
        <v>131</v>
      </c>
      <c r="E61" s="244"/>
      <c r="F61" s="244"/>
      <c r="G61" s="244"/>
    </row>
    <row r="62" spans="2:7" x14ac:dyDescent="0.2">
      <c r="F62" s="238"/>
      <c r="G62" s="238"/>
    </row>
    <row r="63" spans="2:7" x14ac:dyDescent="0.2">
      <c r="E63" s="238"/>
      <c r="F63" s="238"/>
      <c r="G63" s="238"/>
    </row>
    <row r="64" spans="2:7" x14ac:dyDescent="0.2">
      <c r="E64" s="238"/>
    </row>
  </sheetData>
  <mergeCells count="8">
    <mergeCell ref="B12:G12"/>
    <mergeCell ref="B35:G35"/>
    <mergeCell ref="B6:G6"/>
    <mergeCell ref="B1:G1"/>
    <mergeCell ref="B8:H8"/>
    <mergeCell ref="B9:H9"/>
    <mergeCell ref="B3:H3"/>
    <mergeCell ref="B4:H4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9B4D-E264-4279-B143-11BCC41A2856}">
  <dimension ref="B1:K88"/>
  <sheetViews>
    <sheetView topLeftCell="A54" zoomScale="110" zoomScaleNormal="110" workbookViewId="0">
      <selection activeCell="L64" sqref="L64"/>
    </sheetView>
  </sheetViews>
  <sheetFormatPr defaultRowHeight="12" x14ac:dyDescent="0.2"/>
  <cols>
    <col min="1" max="1" width="9.140625" style="214"/>
    <col min="2" max="2" width="7.7109375" style="214" customWidth="1"/>
    <col min="3" max="3" width="8.28515625" style="214" customWidth="1"/>
    <col min="4" max="4" width="5.42578125" style="214" bestFit="1" customWidth="1"/>
    <col min="5" max="5" width="41.28515625" style="214" customWidth="1"/>
    <col min="6" max="8" width="22.7109375" style="214" customWidth="1"/>
    <col min="9" max="9" width="9.140625" style="214"/>
    <col min="10" max="10" width="13.140625" style="214" bestFit="1" customWidth="1"/>
    <col min="11" max="11" width="10.42578125" style="214" bestFit="1" customWidth="1"/>
    <col min="12" max="12" width="9.140625" style="214"/>
    <col min="13" max="13" width="11.28515625" style="214" bestFit="1" customWidth="1"/>
    <col min="14" max="16384" width="9.140625" style="214"/>
  </cols>
  <sheetData>
    <row r="1" spans="2:8" ht="18" customHeight="1" x14ac:dyDescent="0.2">
      <c r="B1" s="239"/>
      <c r="C1" s="239"/>
      <c r="D1" s="239"/>
      <c r="E1" s="239"/>
      <c r="F1" s="239"/>
      <c r="G1" s="239"/>
      <c r="H1" s="239"/>
    </row>
    <row r="2" spans="2:8" x14ac:dyDescent="0.2">
      <c r="B2" s="239"/>
      <c r="C2" s="239"/>
      <c r="D2" s="239"/>
      <c r="E2" s="239"/>
      <c r="F2" s="239"/>
      <c r="G2" s="240"/>
      <c r="H2" s="240"/>
    </row>
    <row r="3" spans="2:8" ht="18" customHeight="1" x14ac:dyDescent="0.2">
      <c r="B3" s="473" t="s">
        <v>11</v>
      </c>
      <c r="C3" s="474"/>
      <c r="D3" s="474"/>
      <c r="E3" s="474"/>
      <c r="F3" s="474"/>
      <c r="G3" s="474"/>
      <c r="H3" s="474"/>
    </row>
    <row r="4" spans="2:8" x14ac:dyDescent="0.2">
      <c r="B4" s="239"/>
      <c r="C4" s="239"/>
      <c r="D4" s="239"/>
      <c r="E4" s="239"/>
      <c r="F4" s="239"/>
      <c r="G4" s="240"/>
      <c r="H4" s="240"/>
    </row>
    <row r="5" spans="2:8" x14ac:dyDescent="0.2">
      <c r="B5" s="473" t="s">
        <v>384</v>
      </c>
      <c r="C5" s="486"/>
      <c r="D5" s="486"/>
      <c r="E5" s="486"/>
      <c r="F5" s="486"/>
      <c r="G5" s="486"/>
      <c r="H5" s="486"/>
    </row>
    <row r="6" spans="2:8" x14ac:dyDescent="0.2">
      <c r="B6" s="239"/>
      <c r="C6" s="239"/>
      <c r="D6" s="239"/>
      <c r="E6" s="239"/>
      <c r="F6" s="239"/>
      <c r="G6" s="240"/>
      <c r="H6" s="240"/>
    </row>
    <row r="7" spans="2:8" ht="24" x14ac:dyDescent="0.2">
      <c r="B7" s="212" t="s">
        <v>12</v>
      </c>
      <c r="C7" s="213" t="s">
        <v>13</v>
      </c>
      <c r="D7" s="213" t="s">
        <v>14</v>
      </c>
      <c r="E7" s="213" t="s">
        <v>10</v>
      </c>
      <c r="F7" s="212" t="s">
        <v>373</v>
      </c>
      <c r="G7" s="212" t="s">
        <v>472</v>
      </c>
      <c r="H7" s="212" t="s">
        <v>717</v>
      </c>
    </row>
    <row r="8" spans="2:8" ht="21.75" customHeight="1" x14ac:dyDescent="0.2">
      <c r="B8" s="215"/>
      <c r="C8" s="216"/>
      <c r="D8" s="216"/>
      <c r="E8" s="216"/>
      <c r="F8" s="217">
        <f>F9+F28</f>
        <v>1815023</v>
      </c>
      <c r="G8" s="217">
        <f>G9+G28</f>
        <v>-452515</v>
      </c>
      <c r="H8" s="217">
        <f>H9+H28</f>
        <v>1362508</v>
      </c>
    </row>
    <row r="9" spans="2:8" ht="15.75" customHeight="1" x14ac:dyDescent="0.2">
      <c r="B9" s="218">
        <v>6</v>
      </c>
      <c r="C9" s="218"/>
      <c r="D9" s="219"/>
      <c r="E9" s="218" t="s">
        <v>15</v>
      </c>
      <c r="F9" s="220">
        <f>F10+F13+F16+F20+F24</f>
        <v>1814523</v>
      </c>
      <c r="G9" s="220">
        <f>G10+G13+G16+G20+G24</f>
        <v>-452515</v>
      </c>
      <c r="H9" s="220">
        <f>H10+H13+H16+H20+H24</f>
        <v>1362008</v>
      </c>
    </row>
    <row r="10" spans="2:8" ht="15.75" customHeight="1" x14ac:dyDescent="0.2">
      <c r="B10" s="218"/>
      <c r="C10" s="221">
        <v>61</v>
      </c>
      <c r="D10" s="222"/>
      <c r="E10" s="221" t="s">
        <v>16</v>
      </c>
      <c r="F10" s="223">
        <v>324600</v>
      </c>
      <c r="G10" s="223">
        <f>G11</f>
        <v>36231</v>
      </c>
      <c r="H10" s="223">
        <f>F10+G10</f>
        <v>360831</v>
      </c>
    </row>
    <row r="11" spans="2:8" x14ac:dyDescent="0.2">
      <c r="B11" s="224"/>
      <c r="C11" s="224"/>
      <c r="D11" s="225" t="s">
        <v>129</v>
      </c>
      <c r="E11" s="226" t="s">
        <v>17</v>
      </c>
      <c r="F11" s="223">
        <v>324600</v>
      </c>
      <c r="G11" s="223">
        <v>36231</v>
      </c>
      <c r="H11" s="223">
        <f t="shared" ref="H11:H30" si="0">F11+G11</f>
        <v>360831</v>
      </c>
    </row>
    <row r="12" spans="2:8" x14ac:dyDescent="0.2">
      <c r="B12" s="224"/>
      <c r="C12" s="224"/>
      <c r="D12" s="225"/>
      <c r="E12" s="226"/>
      <c r="F12" s="223"/>
      <c r="G12" s="223"/>
      <c r="H12" s="223"/>
    </row>
    <row r="13" spans="2:8" ht="24" x14ac:dyDescent="0.2">
      <c r="B13" s="228"/>
      <c r="C13" s="228">
        <v>63</v>
      </c>
      <c r="D13" s="229"/>
      <c r="E13" s="230" t="s">
        <v>45</v>
      </c>
      <c r="F13" s="223">
        <v>1167728</v>
      </c>
      <c r="G13" s="223">
        <f>G14</f>
        <v>-457706</v>
      </c>
      <c r="H13" s="223">
        <f t="shared" si="0"/>
        <v>710022</v>
      </c>
    </row>
    <row r="14" spans="2:8" x14ac:dyDescent="0.2">
      <c r="B14" s="224"/>
      <c r="C14" s="224"/>
      <c r="D14" s="225" t="s">
        <v>130</v>
      </c>
      <c r="E14" s="226" t="s">
        <v>131</v>
      </c>
      <c r="F14" s="223">
        <v>1167728</v>
      </c>
      <c r="G14" s="223">
        <f>-453706-4000</f>
        <v>-457706</v>
      </c>
      <c r="H14" s="223">
        <f>H13</f>
        <v>710022</v>
      </c>
    </row>
    <row r="15" spans="2:8" x14ac:dyDescent="0.2">
      <c r="B15" s="224"/>
      <c r="C15" s="224"/>
      <c r="D15" s="225"/>
      <c r="E15" s="226"/>
      <c r="F15" s="223"/>
      <c r="G15" s="223"/>
      <c r="H15" s="223"/>
    </row>
    <row r="16" spans="2:8" x14ac:dyDescent="0.2">
      <c r="B16" s="228"/>
      <c r="C16" s="228">
        <v>64</v>
      </c>
      <c r="D16" s="229"/>
      <c r="E16" s="228" t="s">
        <v>43</v>
      </c>
      <c r="F16" s="223">
        <v>199545</v>
      </c>
      <c r="G16" s="223">
        <v>-27240</v>
      </c>
      <c r="H16" s="223">
        <f t="shared" si="0"/>
        <v>172305</v>
      </c>
    </row>
    <row r="17" spans="2:8" x14ac:dyDescent="0.2">
      <c r="B17" s="228"/>
      <c r="C17" s="228"/>
      <c r="D17" s="225" t="s">
        <v>129</v>
      </c>
      <c r="E17" s="226" t="s">
        <v>17</v>
      </c>
      <c r="F17" s="223">
        <v>196565</v>
      </c>
      <c r="G17" s="223">
        <f>-20000-190-7000</f>
        <v>-27190</v>
      </c>
      <c r="H17" s="223">
        <f t="shared" si="0"/>
        <v>169375</v>
      </c>
    </row>
    <row r="18" spans="2:8" x14ac:dyDescent="0.2">
      <c r="B18" s="224"/>
      <c r="C18" s="224"/>
      <c r="D18" s="225" t="s">
        <v>132</v>
      </c>
      <c r="E18" s="226" t="s">
        <v>133</v>
      </c>
      <c r="F18" s="223">
        <f>800+2000+50+130</f>
        <v>2980</v>
      </c>
      <c r="G18" s="223">
        <f>-50</f>
        <v>-50</v>
      </c>
      <c r="H18" s="223">
        <f t="shared" si="0"/>
        <v>2930</v>
      </c>
    </row>
    <row r="19" spans="2:8" x14ac:dyDescent="0.2">
      <c r="B19" s="224"/>
      <c r="C19" s="224"/>
      <c r="D19" s="225"/>
      <c r="E19" s="226"/>
      <c r="F19" s="223"/>
      <c r="G19" s="223"/>
      <c r="H19" s="223"/>
    </row>
    <row r="20" spans="2:8" ht="24" x14ac:dyDescent="0.2">
      <c r="B20" s="228"/>
      <c r="C20" s="228">
        <v>65</v>
      </c>
      <c r="D20" s="229"/>
      <c r="E20" s="230" t="s">
        <v>47</v>
      </c>
      <c r="F20" s="223">
        <v>121650</v>
      </c>
      <c r="G20" s="223">
        <f>-3550</f>
        <v>-3550</v>
      </c>
      <c r="H20" s="223">
        <f t="shared" si="0"/>
        <v>118100</v>
      </c>
    </row>
    <row r="21" spans="2:8" x14ac:dyDescent="0.2">
      <c r="B21" s="228"/>
      <c r="C21" s="228"/>
      <c r="D21" s="225" t="s">
        <v>129</v>
      </c>
      <c r="E21" s="226" t="s">
        <v>17</v>
      </c>
      <c r="F21" s="223">
        <v>32032</v>
      </c>
      <c r="G21" s="223">
        <f>50+600+1700</f>
        <v>2350</v>
      </c>
      <c r="H21" s="223">
        <f t="shared" si="0"/>
        <v>34382</v>
      </c>
    </row>
    <row r="22" spans="2:8" x14ac:dyDescent="0.2">
      <c r="B22" s="224"/>
      <c r="C22" s="224"/>
      <c r="D22" s="225" t="s">
        <v>132</v>
      </c>
      <c r="E22" s="226" t="s">
        <v>133</v>
      </c>
      <c r="F22" s="223">
        <f>12000+50+62000+100+15468</f>
        <v>89618</v>
      </c>
      <c r="G22" s="223">
        <f>100-10000+4000</f>
        <v>-5900</v>
      </c>
      <c r="H22" s="223">
        <f t="shared" si="0"/>
        <v>83718</v>
      </c>
    </row>
    <row r="23" spans="2:8" x14ac:dyDescent="0.2">
      <c r="B23" s="224"/>
      <c r="C23" s="224"/>
      <c r="D23" s="225"/>
      <c r="E23" s="226"/>
      <c r="F23" s="223"/>
      <c r="G23" s="223"/>
      <c r="H23" s="223"/>
    </row>
    <row r="24" spans="2:8" ht="36" x14ac:dyDescent="0.2">
      <c r="B24" s="228"/>
      <c r="C24" s="228">
        <v>66</v>
      </c>
      <c r="D24" s="229"/>
      <c r="E24" s="230" t="s">
        <v>48</v>
      </c>
      <c r="F24" s="223">
        <v>1000</v>
      </c>
      <c r="G24" s="223">
        <f>G25</f>
        <v>-250</v>
      </c>
      <c r="H24" s="223">
        <f t="shared" si="0"/>
        <v>750</v>
      </c>
    </row>
    <row r="25" spans="2:8" x14ac:dyDescent="0.2">
      <c r="B25" s="224"/>
      <c r="C25" s="224"/>
      <c r="D25" s="225" t="s">
        <v>129</v>
      </c>
      <c r="E25" s="226" t="s">
        <v>17</v>
      </c>
      <c r="F25" s="223">
        <f>F24</f>
        <v>1000</v>
      </c>
      <c r="G25" s="223">
        <v>-250</v>
      </c>
      <c r="H25" s="223">
        <f t="shared" si="0"/>
        <v>750</v>
      </c>
    </row>
    <row r="26" spans="2:8" x14ac:dyDescent="0.2">
      <c r="B26" s="224"/>
      <c r="C26" s="224"/>
      <c r="D26" s="225"/>
      <c r="E26" s="226"/>
      <c r="F26" s="227"/>
      <c r="G26" s="227"/>
      <c r="H26" s="223"/>
    </row>
    <row r="27" spans="2:8" x14ac:dyDescent="0.2">
      <c r="B27" s="224"/>
      <c r="C27" s="224"/>
      <c r="D27" s="225"/>
      <c r="E27" s="226"/>
      <c r="F27" s="227"/>
      <c r="G27" s="227"/>
      <c r="H27" s="223"/>
    </row>
    <row r="28" spans="2:8" x14ac:dyDescent="0.2">
      <c r="B28" s="231">
        <v>7</v>
      </c>
      <c r="C28" s="231"/>
      <c r="D28" s="232"/>
      <c r="E28" s="233" t="s">
        <v>18</v>
      </c>
      <c r="F28" s="220">
        <f t="shared" ref="F28:G28" si="1">F29</f>
        <v>500</v>
      </c>
      <c r="G28" s="220">
        <f t="shared" si="1"/>
        <v>0</v>
      </c>
      <c r="H28" s="316">
        <f t="shared" si="0"/>
        <v>500</v>
      </c>
    </row>
    <row r="29" spans="2:8" ht="27" customHeight="1" x14ac:dyDescent="0.2">
      <c r="B29" s="221"/>
      <c r="C29" s="221">
        <v>72</v>
      </c>
      <c r="D29" s="222"/>
      <c r="E29" s="234" t="s">
        <v>46</v>
      </c>
      <c r="F29" s="223">
        <v>500</v>
      </c>
      <c r="G29" s="223"/>
      <c r="H29" s="223">
        <f t="shared" si="0"/>
        <v>500</v>
      </c>
    </row>
    <row r="30" spans="2:8" x14ac:dyDescent="0.2">
      <c r="B30" s="236"/>
      <c r="C30" s="236"/>
      <c r="D30" s="225" t="s">
        <v>129</v>
      </c>
      <c r="E30" s="226" t="s">
        <v>17</v>
      </c>
      <c r="F30" s="223">
        <f>F29</f>
        <v>500</v>
      </c>
      <c r="G30" s="223"/>
      <c r="H30" s="223">
        <f t="shared" si="0"/>
        <v>500</v>
      </c>
    </row>
    <row r="31" spans="2:8" x14ac:dyDescent="0.2">
      <c r="D31" s="237"/>
      <c r="G31" s="238"/>
      <c r="H31" s="238"/>
    </row>
    <row r="32" spans="2:8" x14ac:dyDescent="0.2">
      <c r="D32" s="237"/>
      <c r="G32" s="238"/>
      <c r="H32" s="238"/>
    </row>
    <row r="33" spans="2:8" x14ac:dyDescent="0.2">
      <c r="D33" s="237"/>
      <c r="G33" s="238"/>
      <c r="H33" s="238"/>
    </row>
    <row r="34" spans="2:8" x14ac:dyDescent="0.2">
      <c r="D34" s="237"/>
      <c r="G34" s="238"/>
      <c r="H34" s="238"/>
    </row>
    <row r="35" spans="2:8" x14ac:dyDescent="0.2">
      <c r="D35" s="237"/>
      <c r="G35" s="238"/>
      <c r="H35" s="238"/>
    </row>
    <row r="36" spans="2:8" x14ac:dyDescent="0.2">
      <c r="D36" s="237"/>
      <c r="G36" s="238"/>
      <c r="H36" s="238"/>
    </row>
    <row r="37" spans="2:8" x14ac:dyDescent="0.2">
      <c r="D37" s="237"/>
      <c r="G37" s="238"/>
      <c r="H37" s="238"/>
    </row>
    <row r="38" spans="2:8" x14ac:dyDescent="0.2">
      <c r="D38" s="237"/>
      <c r="G38" s="238"/>
      <c r="H38" s="238"/>
    </row>
    <row r="39" spans="2:8" x14ac:dyDescent="0.2">
      <c r="D39" s="237"/>
      <c r="G39" s="238"/>
      <c r="H39" s="238"/>
    </row>
    <row r="40" spans="2:8" x14ac:dyDescent="0.2">
      <c r="D40" s="237"/>
      <c r="G40" s="238"/>
      <c r="H40" s="238"/>
    </row>
    <row r="41" spans="2:8" x14ac:dyDescent="0.2">
      <c r="D41" s="237"/>
      <c r="G41" s="238"/>
      <c r="H41" s="238"/>
    </row>
    <row r="42" spans="2:8" x14ac:dyDescent="0.2">
      <c r="D42" s="237"/>
      <c r="G42" s="238"/>
      <c r="H42" s="238"/>
    </row>
    <row r="43" spans="2:8" x14ac:dyDescent="0.2">
      <c r="D43" s="237"/>
      <c r="G43" s="238"/>
      <c r="H43" s="238"/>
    </row>
    <row r="44" spans="2:8" x14ac:dyDescent="0.2">
      <c r="D44" s="237"/>
      <c r="G44" s="238"/>
      <c r="H44" s="238"/>
    </row>
    <row r="45" spans="2:8" x14ac:dyDescent="0.2">
      <c r="D45" s="237"/>
      <c r="G45" s="238"/>
      <c r="H45" s="238"/>
    </row>
    <row r="46" spans="2:8" x14ac:dyDescent="0.2">
      <c r="D46" s="237"/>
      <c r="G46" s="238"/>
      <c r="H46" s="238"/>
    </row>
    <row r="47" spans="2:8" x14ac:dyDescent="0.2">
      <c r="D47" s="237"/>
      <c r="G47" s="238"/>
      <c r="H47" s="238"/>
    </row>
    <row r="48" spans="2:8" x14ac:dyDescent="0.2">
      <c r="B48" s="473" t="s">
        <v>385</v>
      </c>
      <c r="C48" s="486"/>
      <c r="D48" s="486"/>
      <c r="E48" s="486"/>
      <c r="F48" s="486"/>
      <c r="G48" s="486"/>
      <c r="H48" s="486"/>
    </row>
    <row r="49" spans="2:11" x14ac:dyDescent="0.2">
      <c r="B49" s="239"/>
      <c r="C49" s="239"/>
      <c r="D49" s="239"/>
      <c r="E49" s="239"/>
      <c r="F49" s="239"/>
      <c r="G49" s="240"/>
      <c r="H49" s="240"/>
    </row>
    <row r="50" spans="2:11" ht="24" x14ac:dyDescent="0.2">
      <c r="B50" s="212" t="s">
        <v>12</v>
      </c>
      <c r="C50" s="213" t="s">
        <v>13</v>
      </c>
      <c r="D50" s="213" t="s">
        <v>14</v>
      </c>
      <c r="E50" s="213" t="s">
        <v>20</v>
      </c>
      <c r="F50" s="212" t="s">
        <v>373</v>
      </c>
      <c r="G50" s="212" t="s">
        <v>472</v>
      </c>
      <c r="H50" s="212" t="s">
        <v>717</v>
      </c>
    </row>
    <row r="51" spans="2:11" ht="19.5" customHeight="1" x14ac:dyDescent="0.2">
      <c r="B51" s="215"/>
      <c r="C51" s="216"/>
      <c r="D51" s="216"/>
      <c r="E51" s="216"/>
      <c r="F51" s="217">
        <f>F52+F78</f>
        <v>2097990.1100000003</v>
      </c>
      <c r="G51" s="217">
        <f t="shared" ref="G51:H51" si="2">G52+G78</f>
        <v>-452515</v>
      </c>
      <c r="H51" s="217">
        <f t="shared" si="2"/>
        <v>1645475.11</v>
      </c>
    </row>
    <row r="52" spans="2:11" ht="15.75" customHeight="1" x14ac:dyDescent="0.2">
      <c r="B52" s="218">
        <v>3</v>
      </c>
      <c r="C52" s="218"/>
      <c r="D52" s="218"/>
      <c r="E52" s="218" t="s">
        <v>21</v>
      </c>
      <c r="F52" s="220">
        <f>F53+F57+F62+F65+F68+F72+F75</f>
        <v>1171990.1100000001</v>
      </c>
      <c r="G52" s="220">
        <f>G53+G57+G62+G65+G68+G72+G75</f>
        <v>-35065</v>
      </c>
      <c r="H52" s="220">
        <f>H53+H57+H62+H65+H68+H72+H75</f>
        <v>1136925.1100000001</v>
      </c>
    </row>
    <row r="53" spans="2:11" ht="15.75" customHeight="1" x14ac:dyDescent="0.2">
      <c r="B53" s="298"/>
      <c r="C53" s="236">
        <v>31</v>
      </c>
      <c r="D53" s="236"/>
      <c r="E53" s="236" t="s">
        <v>22</v>
      </c>
      <c r="F53" s="223">
        <v>470855</v>
      </c>
      <c r="G53" s="223">
        <v>-33343</v>
      </c>
      <c r="H53" s="223">
        <f>F53+G53</f>
        <v>437512</v>
      </c>
    </row>
    <row r="54" spans="2:11" x14ac:dyDescent="0.2">
      <c r="B54" s="224"/>
      <c r="C54" s="224"/>
      <c r="D54" s="225" t="s">
        <v>129</v>
      </c>
      <c r="E54" s="226" t="s">
        <v>17</v>
      </c>
      <c r="F54" s="223">
        <f>F53-F55</f>
        <v>292257</v>
      </c>
      <c r="G54" s="223">
        <v>4293</v>
      </c>
      <c r="H54" s="223">
        <v>296550</v>
      </c>
    </row>
    <row r="55" spans="2:11" x14ac:dyDescent="0.2">
      <c r="B55" s="224"/>
      <c r="C55" s="224"/>
      <c r="D55" s="225" t="s">
        <v>130</v>
      </c>
      <c r="E55" s="226" t="s">
        <v>131</v>
      </c>
      <c r="F55" s="223">
        <v>178598</v>
      </c>
      <c r="G55" s="223">
        <v>-37636</v>
      </c>
      <c r="H55" s="223">
        <f>5882+48660+84120+2300</f>
        <v>140962</v>
      </c>
    </row>
    <row r="56" spans="2:11" x14ac:dyDescent="0.2">
      <c r="B56" s="224"/>
      <c r="C56" s="224"/>
      <c r="D56" s="225"/>
      <c r="E56" s="226"/>
      <c r="F56" s="223"/>
      <c r="G56" s="223"/>
      <c r="H56" s="223"/>
      <c r="K56" s="238"/>
    </row>
    <row r="57" spans="2:11" x14ac:dyDescent="0.2">
      <c r="B57" s="224"/>
      <c r="C57" s="236">
        <v>32</v>
      </c>
      <c r="D57" s="236"/>
      <c r="E57" s="236" t="s">
        <v>35</v>
      </c>
      <c r="F57" s="223">
        <v>437408</v>
      </c>
      <c r="G57" s="223">
        <f>-1074-4000</f>
        <v>-5074</v>
      </c>
      <c r="H57" s="223">
        <f>F57+G57</f>
        <v>432334</v>
      </c>
    </row>
    <row r="58" spans="2:11" x14ac:dyDescent="0.2">
      <c r="B58" s="224"/>
      <c r="C58" s="224"/>
      <c r="D58" s="225" t="s">
        <v>129</v>
      </c>
      <c r="E58" s="226" t="s">
        <v>17</v>
      </c>
      <c r="F58" s="223">
        <v>370676.55</v>
      </c>
      <c r="G58" s="223">
        <v>-12404</v>
      </c>
      <c r="H58" s="223">
        <v>358272.55</v>
      </c>
    </row>
    <row r="59" spans="2:11" x14ac:dyDescent="0.2">
      <c r="B59" s="224"/>
      <c r="C59" s="224"/>
      <c r="D59" s="225" t="s">
        <v>132</v>
      </c>
      <c r="E59" s="226" t="s">
        <v>133</v>
      </c>
      <c r="F59" s="223">
        <v>32598</v>
      </c>
      <c r="G59" s="223">
        <f>-50+100+12000</f>
        <v>12050</v>
      </c>
      <c r="H59" s="223">
        <f t="shared" ref="H59" si="3">F59+G59</f>
        <v>44648</v>
      </c>
    </row>
    <row r="60" spans="2:11" x14ac:dyDescent="0.2">
      <c r="B60" s="224"/>
      <c r="C60" s="224"/>
      <c r="D60" s="225" t="s">
        <v>130</v>
      </c>
      <c r="E60" s="226" t="s">
        <v>131</v>
      </c>
      <c r="F60" s="223">
        <v>34133.449999999997</v>
      </c>
      <c r="G60" s="223">
        <v>-4720</v>
      </c>
      <c r="H60" s="223">
        <f>120+14363.45+1000+800+480+10600+2050</f>
        <v>29413.45</v>
      </c>
    </row>
    <row r="61" spans="2:11" x14ac:dyDescent="0.2">
      <c r="B61" s="224"/>
      <c r="C61" s="224"/>
      <c r="D61" s="225"/>
      <c r="E61" s="226"/>
      <c r="F61" s="223"/>
      <c r="G61" s="223"/>
      <c r="H61" s="223"/>
    </row>
    <row r="62" spans="2:11" x14ac:dyDescent="0.2">
      <c r="B62" s="224"/>
      <c r="C62" s="224">
        <v>34</v>
      </c>
      <c r="D62" s="226"/>
      <c r="E62" s="224" t="s">
        <v>127</v>
      </c>
      <c r="F62" s="223">
        <v>4208</v>
      </c>
      <c r="G62" s="223">
        <v>-48</v>
      </c>
      <c r="H62" s="223">
        <f>F62+G62</f>
        <v>4160</v>
      </c>
    </row>
    <row r="63" spans="2:11" x14ac:dyDescent="0.2">
      <c r="B63" s="224"/>
      <c r="C63" s="224"/>
      <c r="D63" s="225" t="s">
        <v>129</v>
      </c>
      <c r="E63" s="226" t="s">
        <v>17</v>
      </c>
      <c r="F63" s="223">
        <f>F62</f>
        <v>4208</v>
      </c>
      <c r="G63" s="223">
        <v>-48</v>
      </c>
      <c r="H63" s="223">
        <f>F63+G63</f>
        <v>4160</v>
      </c>
    </row>
    <row r="64" spans="2:11" x14ac:dyDescent="0.2">
      <c r="B64" s="224"/>
      <c r="C64" s="224"/>
      <c r="D64" s="225"/>
      <c r="E64" s="226"/>
      <c r="F64" s="223"/>
      <c r="G64" s="223"/>
      <c r="H64" s="223"/>
    </row>
    <row r="65" spans="2:11" x14ac:dyDescent="0.2">
      <c r="B65" s="224"/>
      <c r="C65" s="224">
        <v>35</v>
      </c>
      <c r="D65" s="226"/>
      <c r="E65" s="224" t="s">
        <v>49</v>
      </c>
      <c r="F65" s="223">
        <v>25300</v>
      </c>
      <c r="G65" s="223">
        <v>-3000</v>
      </c>
      <c r="H65" s="223">
        <f>F65+G65</f>
        <v>22300</v>
      </c>
    </row>
    <row r="66" spans="2:11" x14ac:dyDescent="0.2">
      <c r="B66" s="224"/>
      <c r="C66" s="224"/>
      <c r="D66" s="225" t="s">
        <v>129</v>
      </c>
      <c r="E66" s="226" t="s">
        <v>17</v>
      </c>
      <c r="F66" s="223">
        <f>F65</f>
        <v>25300</v>
      </c>
      <c r="G66" s="223">
        <v>-3000</v>
      </c>
      <c r="H66" s="223">
        <f>F66+G66</f>
        <v>22300</v>
      </c>
    </row>
    <row r="67" spans="2:11" x14ac:dyDescent="0.2">
      <c r="B67" s="224"/>
      <c r="C67" s="224"/>
      <c r="D67" s="225"/>
      <c r="E67" s="226"/>
      <c r="F67" s="223"/>
      <c r="G67" s="223"/>
      <c r="H67" s="223"/>
    </row>
    <row r="68" spans="2:11" ht="24" x14ac:dyDescent="0.2">
      <c r="B68" s="224"/>
      <c r="C68" s="224">
        <v>36</v>
      </c>
      <c r="D68" s="226"/>
      <c r="E68" s="299" t="s">
        <v>50</v>
      </c>
      <c r="F68" s="223">
        <v>51092</v>
      </c>
      <c r="G68" s="223">
        <v>2000</v>
      </c>
      <c r="H68" s="223">
        <f>F68+G68</f>
        <v>53092</v>
      </c>
    </row>
    <row r="69" spans="2:11" x14ac:dyDescent="0.2">
      <c r="B69" s="224"/>
      <c r="C69" s="224"/>
      <c r="D69" s="225" t="s">
        <v>129</v>
      </c>
      <c r="E69" s="226" t="s">
        <v>17</v>
      </c>
      <c r="F69" s="223">
        <v>33892</v>
      </c>
      <c r="G69" s="223">
        <v>5200</v>
      </c>
      <c r="H69" s="223">
        <v>39092</v>
      </c>
    </row>
    <row r="70" spans="2:11" x14ac:dyDescent="0.2">
      <c r="B70" s="224"/>
      <c r="C70" s="224"/>
      <c r="D70" s="225" t="s">
        <v>130</v>
      </c>
      <c r="E70" s="226" t="s">
        <v>131</v>
      </c>
      <c r="F70" s="223">
        <v>17200</v>
      </c>
      <c r="G70" s="223">
        <v>-3200</v>
      </c>
      <c r="H70" s="223">
        <v>14000</v>
      </c>
    </row>
    <row r="71" spans="2:11" x14ac:dyDescent="0.2">
      <c r="B71" s="224"/>
      <c r="C71" s="224"/>
      <c r="D71" s="225"/>
      <c r="E71" s="226"/>
      <c r="F71" s="223"/>
      <c r="G71" s="223"/>
      <c r="H71" s="223"/>
    </row>
    <row r="72" spans="2:11" ht="24" x14ac:dyDescent="0.2">
      <c r="B72" s="224"/>
      <c r="C72" s="224">
        <v>37</v>
      </c>
      <c r="D72" s="226"/>
      <c r="E72" s="299" t="s">
        <v>51</v>
      </c>
      <c r="F72" s="223">
        <v>69600</v>
      </c>
      <c r="G72" s="223">
        <v>8300</v>
      </c>
      <c r="H72" s="223">
        <f>F72+G72</f>
        <v>77900</v>
      </c>
    </row>
    <row r="73" spans="2:11" x14ac:dyDescent="0.2">
      <c r="B73" s="224"/>
      <c r="C73" s="224"/>
      <c r="D73" s="225" t="s">
        <v>129</v>
      </c>
      <c r="E73" s="226" t="s">
        <v>17</v>
      </c>
      <c r="F73" s="223">
        <f>F72</f>
        <v>69600</v>
      </c>
      <c r="G73" s="223">
        <v>8300</v>
      </c>
      <c r="H73" s="223">
        <f>F73+G73</f>
        <v>77900</v>
      </c>
    </row>
    <row r="74" spans="2:11" x14ac:dyDescent="0.2">
      <c r="B74" s="224"/>
      <c r="C74" s="224"/>
      <c r="D74" s="225"/>
      <c r="E74" s="226"/>
      <c r="F74" s="223"/>
      <c r="G74" s="223"/>
      <c r="H74" s="223"/>
      <c r="K74" s="238"/>
    </row>
    <row r="75" spans="2:11" x14ac:dyDescent="0.2">
      <c r="B75" s="224"/>
      <c r="C75" s="224">
        <v>38</v>
      </c>
      <c r="D75" s="226"/>
      <c r="E75" s="224" t="s">
        <v>52</v>
      </c>
      <c r="F75" s="223">
        <v>113527.11</v>
      </c>
      <c r="G75" s="223">
        <v>-3900</v>
      </c>
      <c r="H75" s="223">
        <f>F75+G75</f>
        <v>109627.11</v>
      </c>
    </row>
    <row r="76" spans="2:11" x14ac:dyDescent="0.2">
      <c r="B76" s="224"/>
      <c r="C76" s="224"/>
      <c r="D76" s="225" t="s">
        <v>129</v>
      </c>
      <c r="E76" s="226" t="s">
        <v>17</v>
      </c>
      <c r="F76" s="223">
        <f>F75</f>
        <v>113527.11</v>
      </c>
      <c r="G76" s="223">
        <v>-3900</v>
      </c>
      <c r="H76" s="223">
        <f>F76+G76</f>
        <v>109627.11</v>
      </c>
    </row>
    <row r="77" spans="2:11" x14ac:dyDescent="0.2">
      <c r="B77" s="224"/>
      <c r="C77" s="224"/>
      <c r="D77" s="225"/>
      <c r="E77" s="226"/>
      <c r="F77" s="227"/>
      <c r="G77" s="227"/>
      <c r="H77" s="227"/>
    </row>
    <row r="78" spans="2:11" x14ac:dyDescent="0.2">
      <c r="B78" s="241">
        <v>4</v>
      </c>
      <c r="C78" s="241"/>
      <c r="D78" s="241"/>
      <c r="E78" s="242" t="s">
        <v>23</v>
      </c>
      <c r="F78" s="220">
        <f>F80+F85</f>
        <v>926000</v>
      </c>
      <c r="G78" s="220">
        <f>G80+G85</f>
        <v>-417450</v>
      </c>
      <c r="H78" s="220">
        <f>H80+H85</f>
        <v>508550</v>
      </c>
    </row>
    <row r="79" spans="2:11" x14ac:dyDescent="0.2">
      <c r="B79" s="241"/>
      <c r="C79" s="241"/>
      <c r="D79" s="225"/>
      <c r="E79" s="226"/>
      <c r="F79" s="220"/>
      <c r="G79" s="220"/>
      <c r="H79" s="220"/>
    </row>
    <row r="80" spans="2:11" ht="24" x14ac:dyDescent="0.2">
      <c r="B80" s="236"/>
      <c r="C80" s="236">
        <v>42</v>
      </c>
      <c r="D80" s="236"/>
      <c r="E80" s="300" t="s">
        <v>42</v>
      </c>
      <c r="F80" s="223">
        <v>739300</v>
      </c>
      <c r="G80" s="223">
        <v>-415750</v>
      </c>
      <c r="H80" s="235">
        <f>F80+G80</f>
        <v>323550</v>
      </c>
    </row>
    <row r="81" spans="2:8" x14ac:dyDescent="0.2">
      <c r="B81" s="236"/>
      <c r="C81" s="236"/>
      <c r="D81" s="225" t="s">
        <v>129</v>
      </c>
      <c r="E81" s="226" t="s">
        <v>17</v>
      </c>
      <c r="F81" s="223">
        <f>F80-F82-F83</f>
        <v>193550</v>
      </c>
      <c r="G81" s="223">
        <v>-16227.1</v>
      </c>
      <c r="H81" s="235">
        <v>177322.9</v>
      </c>
    </row>
    <row r="82" spans="2:8" x14ac:dyDescent="0.2">
      <c r="B82" s="236"/>
      <c r="C82" s="236"/>
      <c r="D82" s="225" t="s">
        <v>132</v>
      </c>
      <c r="E82" s="226" t="s">
        <v>133</v>
      </c>
      <c r="F82" s="223">
        <v>48000</v>
      </c>
      <c r="G82" s="223">
        <f>12000-18000</f>
        <v>-6000</v>
      </c>
      <c r="H82" s="235">
        <f t="shared" ref="H82" si="4">F82+G82</f>
        <v>42000</v>
      </c>
    </row>
    <row r="83" spans="2:8" x14ac:dyDescent="0.2">
      <c r="B83" s="236"/>
      <c r="C83" s="236"/>
      <c r="D83" s="225" t="s">
        <v>130</v>
      </c>
      <c r="E83" s="226" t="s">
        <v>131</v>
      </c>
      <c r="F83" s="223">
        <v>497750</v>
      </c>
      <c r="G83" s="223">
        <v>-393522.9</v>
      </c>
      <c r="H83" s="235">
        <f>46000+25100+9227.1+15000+5000+3900</f>
        <v>104227.1</v>
      </c>
    </row>
    <row r="84" spans="2:8" x14ac:dyDescent="0.2">
      <c r="B84" s="236"/>
      <c r="C84" s="236"/>
      <c r="D84" s="225"/>
      <c r="E84" s="226"/>
      <c r="F84" s="223"/>
      <c r="G84" s="223"/>
      <c r="H84" s="223"/>
    </row>
    <row r="85" spans="2:8" ht="24" x14ac:dyDescent="0.2">
      <c r="B85" s="236"/>
      <c r="C85" s="236">
        <v>45</v>
      </c>
      <c r="D85" s="236"/>
      <c r="E85" s="300" t="s">
        <v>53</v>
      </c>
      <c r="F85" s="223">
        <v>186700</v>
      </c>
      <c r="G85" s="223">
        <v>-1700</v>
      </c>
      <c r="H85" s="235">
        <f>F85+G85</f>
        <v>185000</v>
      </c>
    </row>
    <row r="86" spans="2:8" x14ac:dyDescent="0.2">
      <c r="B86" s="236"/>
      <c r="C86" s="236"/>
      <c r="D86" s="225" t="s">
        <v>129</v>
      </c>
      <c r="E86" s="226" t="s">
        <v>17</v>
      </c>
      <c r="F86" s="223">
        <v>116505</v>
      </c>
      <c r="G86" s="223">
        <v>-7403.56</v>
      </c>
      <c r="H86" s="235">
        <v>109101.44</v>
      </c>
    </row>
    <row r="87" spans="2:8" x14ac:dyDescent="0.2">
      <c r="B87" s="243"/>
      <c r="C87" s="243"/>
      <c r="D87" s="225" t="s">
        <v>132</v>
      </c>
      <c r="E87" s="226" t="s">
        <v>133</v>
      </c>
      <c r="F87" s="244"/>
      <c r="G87" s="244"/>
      <c r="H87" s="235">
        <f t="shared" ref="H87" si="5">F87+G87</f>
        <v>0</v>
      </c>
    </row>
    <row r="88" spans="2:8" x14ac:dyDescent="0.2">
      <c r="B88" s="243"/>
      <c r="C88" s="243"/>
      <c r="D88" s="225" t="s">
        <v>130</v>
      </c>
      <c r="E88" s="226" t="s">
        <v>131</v>
      </c>
      <c r="F88" s="244">
        <v>70195</v>
      </c>
      <c r="G88" s="244">
        <v>5703.56</v>
      </c>
      <c r="H88" s="235">
        <f>13795+53000+5703.56+3400</f>
        <v>75898.559999999998</v>
      </c>
    </row>
  </sheetData>
  <mergeCells count="3">
    <mergeCell ref="B3:H3"/>
    <mergeCell ref="B5:H5"/>
    <mergeCell ref="B48:H48"/>
  </mergeCells>
  <pageMargins left="0.9055118110236221" right="0.39370078740157483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6"/>
  <sheetViews>
    <sheetView topLeftCell="A12" zoomScaleNormal="100" workbookViewId="0">
      <selection activeCell="B36" sqref="B36"/>
    </sheetView>
  </sheetViews>
  <sheetFormatPr defaultRowHeight="12" x14ac:dyDescent="0.2"/>
  <cols>
    <col min="1" max="1" width="11.7109375" style="214" customWidth="1"/>
    <col min="2" max="2" width="60.140625" style="237" customWidth="1"/>
    <col min="3" max="3" width="15.42578125" style="214" customWidth="1"/>
    <col min="4" max="4" width="17.42578125" style="214" customWidth="1"/>
    <col min="5" max="5" width="18.7109375" style="214" customWidth="1"/>
    <col min="6" max="16384" width="9.140625" style="214"/>
  </cols>
  <sheetData>
    <row r="1" spans="2:5" x14ac:dyDescent="0.2">
      <c r="B1" s="351"/>
      <c r="C1" s="239"/>
      <c r="D1" s="240"/>
      <c r="E1" s="240"/>
    </row>
    <row r="2" spans="2:5" x14ac:dyDescent="0.2">
      <c r="B2" s="473" t="s">
        <v>24</v>
      </c>
      <c r="C2" s="486"/>
      <c r="D2" s="486"/>
      <c r="E2" s="486"/>
    </row>
    <row r="3" spans="2:5" x14ac:dyDescent="0.2">
      <c r="B3" s="239"/>
      <c r="C3" s="343"/>
      <c r="D3" s="343"/>
      <c r="E3" s="343"/>
    </row>
    <row r="4" spans="2:5" ht="31.5" customHeight="1" x14ac:dyDescent="0.2">
      <c r="B4" s="489" t="s">
        <v>782</v>
      </c>
      <c r="C4" s="489"/>
      <c r="D4" s="489"/>
      <c r="E4" s="489"/>
    </row>
    <row r="5" spans="2:5" x14ac:dyDescent="0.2">
      <c r="B5" s="351"/>
      <c r="C5" s="239"/>
      <c r="D5" s="240"/>
      <c r="E5" s="240"/>
    </row>
    <row r="6" spans="2:5" ht="24" x14ac:dyDescent="0.2">
      <c r="B6" s="245" t="s">
        <v>25</v>
      </c>
      <c r="C6" s="212" t="s">
        <v>373</v>
      </c>
      <c r="D6" s="212" t="s">
        <v>472</v>
      </c>
      <c r="E6" s="212" t="s">
        <v>717</v>
      </c>
    </row>
    <row r="7" spans="2:5" ht="19.5" customHeight="1" x14ac:dyDescent="0.2">
      <c r="B7" s="219" t="s">
        <v>26</v>
      </c>
      <c r="C7" s="220">
        <f>C9+C12+C14+C16+C20+C23+C28+C30+C35+C40</f>
        <v>2097990.1100000003</v>
      </c>
      <c r="D7" s="220">
        <f>D9+D12+D14+D16+D20+D23+D28+D30+D35+D40</f>
        <v>-452515</v>
      </c>
      <c r="E7" s="220">
        <f>C7+D7</f>
        <v>1645475.1100000003</v>
      </c>
    </row>
    <row r="8" spans="2:5" ht="11.25" customHeight="1" x14ac:dyDescent="0.2">
      <c r="B8" s="219"/>
      <c r="C8" s="220"/>
      <c r="D8" s="220"/>
      <c r="E8" s="220"/>
    </row>
    <row r="9" spans="2:5" ht="15" customHeight="1" x14ac:dyDescent="0.2">
      <c r="B9" s="219" t="s">
        <v>27</v>
      </c>
      <c r="C9" s="316">
        <f>C10+C11</f>
        <v>336398</v>
      </c>
      <c r="D9" s="316">
        <f t="shared" ref="D9:E9" si="0">D10+D11</f>
        <v>-23184</v>
      </c>
      <c r="E9" s="316">
        <f t="shared" si="0"/>
        <v>313214</v>
      </c>
    </row>
    <row r="10" spans="2:5" ht="15" customHeight="1" x14ac:dyDescent="0.2">
      <c r="B10" s="222" t="s">
        <v>388</v>
      </c>
      <c r="C10" s="223">
        <v>60540</v>
      </c>
      <c r="D10" s="223">
        <f>1500+1500</f>
        <v>3000</v>
      </c>
      <c r="E10" s="223">
        <f>C10+D10</f>
        <v>63540</v>
      </c>
    </row>
    <row r="11" spans="2:5" ht="15" customHeight="1" x14ac:dyDescent="0.2">
      <c r="B11" s="222" t="s">
        <v>389</v>
      </c>
      <c r="C11" s="223">
        <v>275858</v>
      </c>
      <c r="D11" s="223">
        <f>-4000+1966-500+7850-12000-15000-500-4000</f>
        <v>-26184</v>
      </c>
      <c r="E11" s="223">
        <f t="shared" ref="E11:E44" si="1">C11+D11</f>
        <v>249674</v>
      </c>
    </row>
    <row r="12" spans="2:5" ht="15" customHeight="1" x14ac:dyDescent="0.2">
      <c r="B12" s="219" t="s">
        <v>57</v>
      </c>
      <c r="C12" s="316">
        <f>C13</f>
        <v>3500</v>
      </c>
      <c r="D12" s="316">
        <f t="shared" ref="D12:E12" si="2">D13</f>
        <v>-1500</v>
      </c>
      <c r="E12" s="316">
        <f t="shared" si="2"/>
        <v>2000</v>
      </c>
    </row>
    <row r="13" spans="2:5" ht="15" customHeight="1" x14ac:dyDescent="0.2">
      <c r="B13" s="222" t="s">
        <v>684</v>
      </c>
      <c r="C13" s="223">
        <f>3500</f>
        <v>3500</v>
      </c>
      <c r="D13" s="223">
        <v>-1500</v>
      </c>
      <c r="E13" s="223">
        <f t="shared" si="1"/>
        <v>2000</v>
      </c>
    </row>
    <row r="14" spans="2:5" ht="15" customHeight="1" x14ac:dyDescent="0.2">
      <c r="B14" s="219" t="s">
        <v>54</v>
      </c>
      <c r="C14" s="316">
        <f>C15</f>
        <v>36000</v>
      </c>
      <c r="D14" s="316">
        <f t="shared" ref="D14:E14" si="3">D15</f>
        <v>0</v>
      </c>
      <c r="E14" s="316">
        <f t="shared" si="3"/>
        <v>36000</v>
      </c>
    </row>
    <row r="15" spans="2:5" ht="15" customHeight="1" x14ac:dyDescent="0.2">
      <c r="B15" s="222" t="s">
        <v>683</v>
      </c>
      <c r="C15" s="223">
        <v>36000</v>
      </c>
      <c r="D15" s="223"/>
      <c r="E15" s="223">
        <f t="shared" si="1"/>
        <v>36000</v>
      </c>
    </row>
    <row r="16" spans="2:5" ht="15" customHeight="1" x14ac:dyDescent="0.2">
      <c r="B16" s="219" t="s">
        <v>28</v>
      </c>
      <c r="C16" s="316">
        <f>C17+C18+C19</f>
        <v>52192</v>
      </c>
      <c r="D16" s="316">
        <f t="shared" ref="D16:E16" si="4">D17+D18+D19</f>
        <v>-1000</v>
      </c>
      <c r="E16" s="316">
        <f t="shared" si="4"/>
        <v>51192</v>
      </c>
    </row>
    <row r="17" spans="2:5" ht="15" customHeight="1" x14ac:dyDescent="0.2">
      <c r="B17" s="222" t="s">
        <v>391</v>
      </c>
      <c r="C17" s="223">
        <f>5000</f>
        <v>5000</v>
      </c>
      <c r="D17" s="223">
        <v>-3000</v>
      </c>
      <c r="E17" s="223">
        <f t="shared" si="1"/>
        <v>2000</v>
      </c>
    </row>
    <row r="18" spans="2:5" ht="15" customHeight="1" x14ac:dyDescent="0.2">
      <c r="B18" s="352" t="s">
        <v>390</v>
      </c>
      <c r="C18" s="223">
        <f>23192</f>
        <v>23192</v>
      </c>
      <c r="D18" s="223"/>
      <c r="E18" s="223">
        <f t="shared" si="1"/>
        <v>23192</v>
      </c>
    </row>
    <row r="19" spans="2:5" ht="15" customHeight="1" x14ac:dyDescent="0.2">
      <c r="B19" s="222" t="s">
        <v>674</v>
      </c>
      <c r="C19" s="223">
        <v>24000</v>
      </c>
      <c r="D19" s="223">
        <v>2000</v>
      </c>
      <c r="E19" s="223">
        <f t="shared" si="1"/>
        <v>26000</v>
      </c>
    </row>
    <row r="20" spans="2:5" ht="15" customHeight="1" x14ac:dyDescent="0.2">
      <c r="B20" s="219" t="s">
        <v>55</v>
      </c>
      <c r="C20" s="353">
        <f>C21+C22</f>
        <v>31240</v>
      </c>
      <c r="D20" s="353">
        <f t="shared" ref="D20:E20" si="5">D21+D22</f>
        <v>300</v>
      </c>
      <c r="E20" s="353">
        <f t="shared" si="5"/>
        <v>31540</v>
      </c>
    </row>
    <row r="21" spans="2:5" ht="15" customHeight="1" x14ac:dyDescent="0.2">
      <c r="B21" s="222" t="s">
        <v>681</v>
      </c>
      <c r="C21" s="244">
        <f>9600</f>
        <v>9600</v>
      </c>
      <c r="D21" s="244">
        <v>-500</v>
      </c>
      <c r="E21" s="223">
        <f t="shared" si="1"/>
        <v>9100</v>
      </c>
    </row>
    <row r="22" spans="2:5" ht="15" customHeight="1" x14ac:dyDescent="0.2">
      <c r="B22" s="222" t="s">
        <v>678</v>
      </c>
      <c r="C22" s="244">
        <v>21640</v>
      </c>
      <c r="D22" s="244">
        <f>2000-1200</f>
        <v>800</v>
      </c>
      <c r="E22" s="223">
        <f t="shared" si="1"/>
        <v>22440</v>
      </c>
    </row>
    <row r="23" spans="2:5" ht="15" customHeight="1" x14ac:dyDescent="0.2">
      <c r="B23" s="219" t="s">
        <v>56</v>
      </c>
      <c r="C23" s="353">
        <f>C24+C25+C26+C27</f>
        <v>1088000</v>
      </c>
      <c r="D23" s="353">
        <f t="shared" ref="D23:E23" si="6">D24+D25+D26+D27</f>
        <v>-401300</v>
      </c>
      <c r="E23" s="353">
        <f t="shared" si="6"/>
        <v>686700</v>
      </c>
    </row>
    <row r="24" spans="2:5" ht="15" customHeight="1" x14ac:dyDescent="0.2">
      <c r="B24" s="222" t="s">
        <v>677</v>
      </c>
      <c r="C24" s="244">
        <v>1024200</v>
      </c>
      <c r="D24" s="244">
        <f>100+700+10000-400-600+1000+5000-321000-1000+200-700-100300</f>
        <v>-407000</v>
      </c>
      <c r="E24" s="223">
        <f t="shared" si="1"/>
        <v>617200</v>
      </c>
    </row>
    <row r="25" spans="2:5" ht="15" customHeight="1" x14ac:dyDescent="0.2">
      <c r="B25" s="222" t="s">
        <v>680</v>
      </c>
      <c r="C25" s="244">
        <v>25000</v>
      </c>
      <c r="D25" s="244">
        <v>7000</v>
      </c>
      <c r="E25" s="223">
        <f t="shared" si="1"/>
        <v>32000</v>
      </c>
    </row>
    <row r="26" spans="2:5" ht="15" customHeight="1" x14ac:dyDescent="0.2">
      <c r="B26" s="222" t="s">
        <v>679</v>
      </c>
      <c r="C26" s="244">
        <v>22000</v>
      </c>
      <c r="D26" s="244"/>
      <c r="E26" s="223">
        <f t="shared" si="1"/>
        <v>22000</v>
      </c>
    </row>
    <row r="27" spans="2:5" ht="15" customHeight="1" x14ac:dyDescent="0.2">
      <c r="B27" s="222" t="s">
        <v>682</v>
      </c>
      <c r="C27" s="244">
        <v>16800</v>
      </c>
      <c r="D27" s="244">
        <f>-1300</f>
        <v>-1300</v>
      </c>
      <c r="E27" s="223">
        <f t="shared" si="1"/>
        <v>15500</v>
      </c>
    </row>
    <row r="28" spans="2:5" ht="15" customHeight="1" x14ac:dyDescent="0.2">
      <c r="B28" s="219" t="s">
        <v>58</v>
      </c>
      <c r="C28" s="353">
        <f>C29</f>
        <v>4000</v>
      </c>
      <c r="D28" s="353">
        <f t="shared" ref="D28:E28" si="7">D29</f>
        <v>-1000</v>
      </c>
      <c r="E28" s="353">
        <f t="shared" si="7"/>
        <v>3000</v>
      </c>
    </row>
    <row r="29" spans="2:5" ht="15" customHeight="1" x14ac:dyDescent="0.2">
      <c r="B29" s="222" t="s">
        <v>691</v>
      </c>
      <c r="C29" s="244">
        <v>4000</v>
      </c>
      <c r="D29" s="244">
        <v>-1000</v>
      </c>
      <c r="E29" s="223">
        <f t="shared" si="1"/>
        <v>3000</v>
      </c>
    </row>
    <row r="30" spans="2:5" ht="15" customHeight="1" x14ac:dyDescent="0.2">
      <c r="B30" s="219" t="s">
        <v>59</v>
      </c>
      <c r="C30" s="353">
        <f>C31+C32+C33+C34</f>
        <v>70297.11</v>
      </c>
      <c r="D30" s="353">
        <f t="shared" ref="D30:E30" si="8">D31+D32+D33+D34</f>
        <v>0</v>
      </c>
      <c r="E30" s="353">
        <f t="shared" si="8"/>
        <v>70297.11</v>
      </c>
    </row>
    <row r="31" spans="2:5" ht="15" customHeight="1" x14ac:dyDescent="0.2">
      <c r="B31" s="222" t="s">
        <v>685</v>
      </c>
      <c r="C31" s="244">
        <f>55000</f>
        <v>55000</v>
      </c>
      <c r="D31" s="244"/>
      <c r="E31" s="223">
        <f t="shared" si="1"/>
        <v>55000</v>
      </c>
    </row>
    <row r="32" spans="2:5" ht="15" customHeight="1" x14ac:dyDescent="0.2">
      <c r="B32" s="222" t="s">
        <v>686</v>
      </c>
      <c r="C32" s="244">
        <f>4000</f>
        <v>4000</v>
      </c>
      <c r="D32" s="244"/>
      <c r="E32" s="223">
        <f t="shared" si="1"/>
        <v>4000</v>
      </c>
    </row>
    <row r="33" spans="2:5" ht="15" customHeight="1" x14ac:dyDescent="0.2">
      <c r="B33" s="222" t="s">
        <v>687</v>
      </c>
      <c r="C33" s="244">
        <v>1800</v>
      </c>
      <c r="D33" s="244"/>
      <c r="E33" s="223">
        <f t="shared" si="1"/>
        <v>1800</v>
      </c>
    </row>
    <row r="34" spans="2:5" ht="15" customHeight="1" x14ac:dyDescent="0.2">
      <c r="B34" s="222" t="s">
        <v>692</v>
      </c>
      <c r="C34" s="244">
        <v>9497.11</v>
      </c>
      <c r="D34" s="244"/>
      <c r="E34" s="223">
        <f t="shared" si="1"/>
        <v>9497.11</v>
      </c>
    </row>
    <row r="35" spans="2:5" ht="15" customHeight="1" x14ac:dyDescent="0.2">
      <c r="B35" s="219" t="s">
        <v>60</v>
      </c>
      <c r="C35" s="353">
        <f>C36+C37+C38+C39</f>
        <v>318651</v>
      </c>
      <c r="D35" s="353">
        <f t="shared" ref="D35:E35" si="9">D36+D37+D38+D39</f>
        <v>4969</v>
      </c>
      <c r="E35" s="353">
        <f t="shared" si="9"/>
        <v>323620</v>
      </c>
    </row>
    <row r="36" spans="2:5" ht="15" customHeight="1" x14ac:dyDescent="0.2">
      <c r="B36" s="222" t="s">
        <v>61</v>
      </c>
      <c r="C36" s="244">
        <v>283201</v>
      </c>
      <c r="D36" s="244">
        <v>4769</v>
      </c>
      <c r="E36" s="223">
        <f t="shared" si="1"/>
        <v>287970</v>
      </c>
    </row>
    <row r="37" spans="2:5" ht="15" customHeight="1" x14ac:dyDescent="0.2">
      <c r="B37" s="354" t="s">
        <v>62</v>
      </c>
      <c r="C37" s="244">
        <v>23950</v>
      </c>
      <c r="D37" s="244">
        <f>500-300</f>
        <v>200</v>
      </c>
      <c r="E37" s="223">
        <f t="shared" si="1"/>
        <v>24150</v>
      </c>
    </row>
    <row r="38" spans="2:5" ht="15" customHeight="1" x14ac:dyDescent="0.2">
      <c r="B38" s="222" t="s">
        <v>63</v>
      </c>
      <c r="C38" s="244">
        <v>3500</v>
      </c>
      <c r="D38" s="244"/>
      <c r="E38" s="223">
        <f t="shared" si="1"/>
        <v>3500</v>
      </c>
    </row>
    <row r="39" spans="2:5" ht="15" customHeight="1" x14ac:dyDescent="0.2">
      <c r="B39" s="222" t="s">
        <v>64</v>
      </c>
      <c r="C39" s="244">
        <v>8000</v>
      </c>
      <c r="D39" s="244"/>
      <c r="E39" s="223">
        <f t="shared" si="1"/>
        <v>8000</v>
      </c>
    </row>
    <row r="40" spans="2:5" ht="15" customHeight="1" x14ac:dyDescent="0.2">
      <c r="B40" s="219" t="s">
        <v>65</v>
      </c>
      <c r="C40" s="353">
        <f>C41+C42+C43+C44</f>
        <v>157712</v>
      </c>
      <c r="D40" s="353">
        <f t="shared" ref="D40:E40" si="10">D41+D42+D43+D44</f>
        <v>-29800</v>
      </c>
      <c r="E40" s="353">
        <f t="shared" si="10"/>
        <v>127912</v>
      </c>
    </row>
    <row r="41" spans="2:5" ht="15" customHeight="1" x14ac:dyDescent="0.2">
      <c r="B41" s="222" t="s">
        <v>689</v>
      </c>
      <c r="C41" s="244">
        <v>89010</v>
      </c>
      <c r="D41" s="244">
        <v>-38300</v>
      </c>
      <c r="E41" s="223">
        <f t="shared" si="1"/>
        <v>50710</v>
      </c>
    </row>
    <row r="42" spans="2:5" ht="15" customHeight="1" x14ac:dyDescent="0.2">
      <c r="B42" s="222" t="s">
        <v>688</v>
      </c>
      <c r="C42" s="244">
        <v>60600</v>
      </c>
      <c r="D42" s="244">
        <v>8600</v>
      </c>
      <c r="E42" s="223">
        <f t="shared" si="1"/>
        <v>69200</v>
      </c>
    </row>
    <row r="43" spans="2:5" ht="15" customHeight="1" x14ac:dyDescent="0.2">
      <c r="B43" s="222" t="s">
        <v>675</v>
      </c>
      <c r="C43" s="244">
        <v>6002</v>
      </c>
      <c r="D43" s="244"/>
      <c r="E43" s="223">
        <f t="shared" si="1"/>
        <v>6002</v>
      </c>
    </row>
    <row r="44" spans="2:5" ht="26.25" customHeight="1" x14ac:dyDescent="0.2">
      <c r="B44" s="355" t="s">
        <v>690</v>
      </c>
      <c r="C44" s="244">
        <v>2100</v>
      </c>
      <c r="D44" s="244">
        <v>-100</v>
      </c>
      <c r="E44" s="223">
        <f t="shared" si="1"/>
        <v>2000</v>
      </c>
    </row>
    <row r="45" spans="2:5" x14ac:dyDescent="0.2">
      <c r="C45" s="238"/>
      <c r="D45" s="238"/>
      <c r="E45" s="238"/>
    </row>
    <row r="46" spans="2:5" x14ac:dyDescent="0.2">
      <c r="C46" s="247"/>
      <c r="D46" s="238"/>
      <c r="E46" s="238"/>
    </row>
  </sheetData>
  <mergeCells count="2">
    <mergeCell ref="B4:E4"/>
    <mergeCell ref="B2:E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0"/>
  <sheetViews>
    <sheetView topLeftCell="A16" workbookViewId="0">
      <selection activeCell="N11" sqref="N11"/>
    </sheetView>
  </sheetViews>
  <sheetFormatPr defaultRowHeight="12" x14ac:dyDescent="0.2"/>
  <cols>
    <col min="1" max="1" width="7.5703125" style="214" customWidth="1"/>
    <col min="2" max="2" width="8.42578125" style="214" bestFit="1" customWidth="1"/>
    <col min="3" max="3" width="5.42578125" style="214" bestFit="1" customWidth="1"/>
    <col min="4" max="4" width="30.85546875" style="214" customWidth="1"/>
    <col min="5" max="7" width="25.28515625" style="214" customWidth="1"/>
    <col min="8" max="16384" width="9.140625" style="214"/>
  </cols>
  <sheetData>
    <row r="1" spans="1:7" ht="18" customHeight="1" x14ac:dyDescent="0.2">
      <c r="A1" s="239"/>
      <c r="B1" s="239"/>
      <c r="C1" s="239"/>
      <c r="D1" s="239"/>
      <c r="E1" s="239"/>
      <c r="F1" s="239"/>
      <c r="G1" s="239"/>
    </row>
    <row r="2" spans="1:7" ht="18" customHeight="1" x14ac:dyDescent="0.2">
      <c r="A2" s="490" t="s">
        <v>783</v>
      </c>
      <c r="B2" s="490"/>
      <c r="C2" s="490"/>
      <c r="D2" s="490"/>
      <c r="E2" s="490"/>
      <c r="F2" s="490"/>
      <c r="G2" s="490"/>
    </row>
    <row r="3" spans="1:7" ht="18" customHeight="1" x14ac:dyDescent="0.2">
      <c r="A3" s="239"/>
      <c r="B3" s="239"/>
      <c r="C3" s="239"/>
      <c r="D3" s="239"/>
      <c r="E3" s="239"/>
      <c r="F3" s="239"/>
      <c r="G3" s="239"/>
    </row>
    <row r="4" spans="1:7" ht="18" customHeight="1" x14ac:dyDescent="0.2">
      <c r="A4" s="239"/>
      <c r="B4" s="239"/>
      <c r="C4" s="239"/>
      <c r="D4" s="239"/>
      <c r="E4" s="239"/>
      <c r="F4" s="239"/>
      <c r="G4" s="239"/>
    </row>
    <row r="5" spans="1:7" ht="18" customHeight="1" x14ac:dyDescent="0.2">
      <c r="A5" s="473" t="s">
        <v>386</v>
      </c>
      <c r="B5" s="474"/>
      <c r="C5" s="474"/>
      <c r="D5" s="474"/>
      <c r="E5" s="474"/>
      <c r="F5" s="474"/>
      <c r="G5" s="474"/>
    </row>
    <row r="6" spans="1:7" ht="18" customHeight="1" x14ac:dyDescent="0.2">
      <c r="A6" s="239"/>
      <c r="B6" s="302"/>
      <c r="C6" s="302"/>
      <c r="D6" s="302"/>
      <c r="E6" s="302"/>
      <c r="F6" s="302"/>
      <c r="G6" s="302"/>
    </row>
    <row r="7" spans="1:7" ht="18" customHeight="1" x14ac:dyDescent="0.2">
      <c r="A7" s="239"/>
      <c r="B7" s="302"/>
      <c r="C7" s="302"/>
      <c r="D7" s="302"/>
      <c r="E7" s="302"/>
      <c r="F7" s="302"/>
      <c r="G7" s="302"/>
    </row>
    <row r="8" spans="1:7" ht="18" customHeight="1" x14ac:dyDescent="0.2">
      <c r="A8" s="489" t="s">
        <v>718</v>
      </c>
      <c r="B8" s="489"/>
      <c r="C8" s="489"/>
      <c r="D8" s="489"/>
      <c r="E8" s="489"/>
      <c r="F8" s="489"/>
      <c r="G8" s="489"/>
    </row>
    <row r="9" spans="1:7" x14ac:dyDescent="0.2">
      <c r="A9" s="239"/>
      <c r="B9" s="239"/>
      <c r="C9" s="239"/>
      <c r="D9" s="239"/>
      <c r="E9" s="239"/>
      <c r="F9" s="240"/>
      <c r="G9" s="240"/>
    </row>
    <row r="10" spans="1:7" ht="24" x14ac:dyDescent="0.2">
      <c r="A10" s="212" t="s">
        <v>12</v>
      </c>
      <c r="B10" s="213" t="s">
        <v>13</v>
      </c>
      <c r="C10" s="213" t="s">
        <v>14</v>
      </c>
      <c r="D10" s="213" t="s">
        <v>44</v>
      </c>
      <c r="E10" s="212" t="s">
        <v>373</v>
      </c>
      <c r="F10" s="212" t="s">
        <v>472</v>
      </c>
      <c r="G10" s="212" t="s">
        <v>717</v>
      </c>
    </row>
    <row r="11" spans="1:7" ht="24" x14ac:dyDescent="0.2">
      <c r="A11" s="218">
        <v>8</v>
      </c>
      <c r="B11" s="218"/>
      <c r="C11" s="218"/>
      <c r="D11" s="218" t="s">
        <v>29</v>
      </c>
      <c r="E11" s="356">
        <v>0</v>
      </c>
      <c r="F11" s="356">
        <v>0</v>
      </c>
      <c r="G11" s="356">
        <v>0</v>
      </c>
    </row>
    <row r="12" spans="1:7" x14ac:dyDescent="0.2">
      <c r="A12" s="218"/>
      <c r="B12" s="221">
        <v>84</v>
      </c>
      <c r="C12" s="221"/>
      <c r="D12" s="221" t="s">
        <v>36</v>
      </c>
      <c r="E12" s="357"/>
      <c r="F12" s="357"/>
      <c r="G12" s="357"/>
    </row>
    <row r="13" spans="1:7" x14ac:dyDescent="0.2">
      <c r="A13" s="228"/>
      <c r="B13" s="228"/>
      <c r="C13" s="347">
        <v>81</v>
      </c>
      <c r="D13" s="346" t="s">
        <v>37</v>
      </c>
      <c r="E13" s="357"/>
      <c r="F13" s="357"/>
      <c r="G13" s="357"/>
    </row>
    <row r="14" spans="1:7" ht="24" x14ac:dyDescent="0.2">
      <c r="A14" s="231">
        <v>5</v>
      </c>
      <c r="B14" s="231"/>
      <c r="C14" s="231"/>
      <c r="D14" s="233" t="s">
        <v>30</v>
      </c>
      <c r="E14" s="356">
        <v>0</v>
      </c>
      <c r="F14" s="356">
        <v>0</v>
      </c>
      <c r="G14" s="356">
        <v>0</v>
      </c>
    </row>
    <row r="15" spans="1:7" ht="24" x14ac:dyDescent="0.2">
      <c r="A15" s="221"/>
      <c r="B15" s="221">
        <v>54</v>
      </c>
      <c r="C15" s="221"/>
      <c r="D15" s="234" t="s">
        <v>38</v>
      </c>
      <c r="E15" s="357"/>
      <c r="F15" s="357"/>
      <c r="G15" s="358"/>
    </row>
    <row r="16" spans="1:7" x14ac:dyDescent="0.2">
      <c r="A16" s="221"/>
      <c r="B16" s="221"/>
      <c r="C16" s="225" t="s">
        <v>129</v>
      </c>
      <c r="D16" s="226" t="s">
        <v>17</v>
      </c>
      <c r="E16" s="357"/>
      <c r="F16" s="357"/>
      <c r="G16" s="358"/>
    </row>
    <row r="17" spans="1:8" x14ac:dyDescent="0.2">
      <c r="A17" s="221"/>
      <c r="B17" s="221"/>
      <c r="C17" s="347">
        <v>31</v>
      </c>
      <c r="D17" s="347" t="s">
        <v>39</v>
      </c>
      <c r="E17" s="357"/>
      <c r="F17" s="357"/>
      <c r="G17" s="358"/>
    </row>
    <row r="20" spans="1:8" ht="18" customHeight="1" x14ac:dyDescent="0.2">
      <c r="B20" s="473" t="s">
        <v>387</v>
      </c>
      <c r="C20" s="474"/>
      <c r="D20" s="474"/>
      <c r="E20" s="474"/>
      <c r="F20" s="474"/>
      <c r="G20" s="474"/>
      <c r="H20" s="474"/>
    </row>
    <row r="21" spans="1:8" ht="18" customHeight="1" x14ac:dyDescent="0.2">
      <c r="B21" s="239"/>
      <c r="C21" s="302"/>
      <c r="D21" s="302"/>
      <c r="E21" s="302"/>
      <c r="F21" s="302"/>
      <c r="G21" s="302"/>
      <c r="H21" s="302"/>
    </row>
    <row r="22" spans="1:8" x14ac:dyDescent="0.2">
      <c r="B22" s="239"/>
      <c r="C22" s="239"/>
      <c r="D22" s="239"/>
      <c r="E22" s="239"/>
      <c r="F22" s="239"/>
      <c r="G22" s="240"/>
      <c r="H22" s="240"/>
    </row>
    <row r="23" spans="1:8" ht="24" x14ac:dyDescent="0.2">
      <c r="A23" s="212" t="s">
        <v>12</v>
      </c>
      <c r="B23" s="213" t="s">
        <v>13</v>
      </c>
      <c r="C23" s="213" t="s">
        <v>14</v>
      </c>
      <c r="D23" s="213" t="s">
        <v>44</v>
      </c>
      <c r="E23" s="212" t="s">
        <v>373</v>
      </c>
      <c r="F23" s="212" t="s">
        <v>472</v>
      </c>
      <c r="G23" s="212" t="s">
        <v>717</v>
      </c>
    </row>
    <row r="24" spans="1:8" ht="24" x14ac:dyDescent="0.2">
      <c r="A24" s="218">
        <v>8</v>
      </c>
      <c r="B24" s="218"/>
      <c r="C24" s="218"/>
      <c r="D24" s="218" t="s">
        <v>29</v>
      </c>
      <c r="E24" s="356">
        <v>0</v>
      </c>
      <c r="F24" s="356">
        <v>0</v>
      </c>
      <c r="G24" s="356">
        <v>0</v>
      </c>
    </row>
    <row r="25" spans="1:8" x14ac:dyDescent="0.2">
      <c r="A25" s="218"/>
      <c r="B25" s="221">
        <v>84</v>
      </c>
      <c r="C25" s="221"/>
      <c r="D25" s="221" t="s">
        <v>36</v>
      </c>
      <c r="E25" s="357"/>
      <c r="F25" s="357"/>
      <c r="G25" s="357"/>
    </row>
    <row r="26" spans="1:8" x14ac:dyDescent="0.2">
      <c r="A26" s="228"/>
      <c r="B26" s="228"/>
      <c r="C26" s="347">
        <v>81</v>
      </c>
      <c r="D26" s="346" t="s">
        <v>37</v>
      </c>
      <c r="E26" s="357"/>
      <c r="F26" s="357"/>
      <c r="G26" s="357"/>
    </row>
    <row r="27" spans="1:8" ht="24" x14ac:dyDescent="0.2">
      <c r="A27" s="231">
        <v>5</v>
      </c>
      <c r="B27" s="231"/>
      <c r="C27" s="231"/>
      <c r="D27" s="233" t="s">
        <v>30</v>
      </c>
      <c r="E27" s="356">
        <v>0</v>
      </c>
      <c r="F27" s="356">
        <v>0</v>
      </c>
      <c r="G27" s="356">
        <v>0</v>
      </c>
    </row>
    <row r="28" spans="1:8" ht="24" x14ac:dyDescent="0.2">
      <c r="A28" s="221"/>
      <c r="B28" s="221">
        <v>54</v>
      </c>
      <c r="C28" s="221"/>
      <c r="D28" s="234" t="s">
        <v>38</v>
      </c>
      <c r="E28" s="357"/>
      <c r="F28" s="357"/>
      <c r="G28" s="358"/>
    </row>
    <row r="29" spans="1:8" x14ac:dyDescent="0.2">
      <c r="A29" s="221"/>
      <c r="B29" s="221"/>
      <c r="C29" s="225" t="s">
        <v>129</v>
      </c>
      <c r="D29" s="226" t="s">
        <v>17</v>
      </c>
      <c r="E29" s="357"/>
      <c r="F29" s="357"/>
      <c r="G29" s="358"/>
    </row>
    <row r="30" spans="1:8" x14ac:dyDescent="0.2">
      <c r="A30" s="221"/>
      <c r="B30" s="221"/>
      <c r="C30" s="347">
        <v>31</v>
      </c>
      <c r="D30" s="347" t="s">
        <v>39</v>
      </c>
      <c r="E30" s="357"/>
      <c r="F30" s="357"/>
      <c r="G30" s="358"/>
    </row>
  </sheetData>
  <mergeCells count="4">
    <mergeCell ref="A5:G5"/>
    <mergeCell ref="A2:G2"/>
    <mergeCell ref="A8:G8"/>
    <mergeCell ref="B20:H2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424"/>
  <sheetViews>
    <sheetView tabSelected="1" topLeftCell="A389" zoomScaleNormal="100" workbookViewId="0">
      <selection activeCell="A420" sqref="A420"/>
    </sheetView>
  </sheetViews>
  <sheetFormatPr defaultRowHeight="15" x14ac:dyDescent="0.25"/>
  <cols>
    <col min="1" max="1" width="3.7109375" customWidth="1"/>
    <col min="2" max="2" width="8.42578125" customWidth="1"/>
    <col min="3" max="3" width="8.7109375" customWidth="1"/>
    <col min="4" max="4" width="29.7109375" customWidth="1"/>
    <col min="5" max="5" width="0.28515625" hidden="1" customWidth="1"/>
    <col min="6" max="6" width="0.140625" customWidth="1"/>
    <col min="7" max="7" width="16.28515625" customWidth="1"/>
    <col min="8" max="8" width="14.7109375" customWidth="1"/>
    <col min="9" max="9" width="18.140625" customWidth="1"/>
    <col min="14" max="14" width="11.7109375" bestFit="1" customWidth="1"/>
    <col min="16" max="16" width="13.140625" bestFit="1" customWidth="1"/>
  </cols>
  <sheetData>
    <row r="2" spans="1:9" ht="18" customHeight="1" x14ac:dyDescent="0.25">
      <c r="A2" s="547" t="s">
        <v>31</v>
      </c>
      <c r="B2" s="547"/>
      <c r="C2" s="547"/>
      <c r="D2" s="547"/>
      <c r="E2" s="547"/>
      <c r="F2" s="547"/>
      <c r="G2" s="547"/>
      <c r="H2" s="547"/>
      <c r="I2" s="547"/>
    </row>
    <row r="3" spans="1:9" ht="18" customHeight="1" x14ac:dyDescent="0.25">
      <c r="A3" s="6"/>
      <c r="B3" s="164"/>
      <c r="C3" s="164"/>
      <c r="D3" s="164"/>
      <c r="E3" s="164"/>
      <c r="F3" s="164"/>
      <c r="G3" s="164"/>
      <c r="H3" s="164"/>
      <c r="I3" s="164"/>
    </row>
    <row r="4" spans="1:9" ht="18" customHeight="1" x14ac:dyDescent="0.25">
      <c r="A4" s="547" t="s">
        <v>621</v>
      </c>
      <c r="B4" s="547"/>
      <c r="C4" s="547"/>
      <c r="D4" s="547"/>
      <c r="E4" s="547"/>
      <c r="F4" s="547"/>
      <c r="G4" s="547"/>
      <c r="H4" s="547"/>
      <c r="I4" s="547"/>
    </row>
    <row r="5" spans="1:9" s="149" customFormat="1" ht="18" customHeight="1" x14ac:dyDescent="0.2">
      <c r="A5" s="625"/>
      <c r="B5" s="625"/>
      <c r="C5" s="625"/>
      <c r="D5" s="625"/>
      <c r="E5" s="625"/>
      <c r="F5" s="625"/>
      <c r="G5" s="625"/>
      <c r="H5" s="392"/>
      <c r="I5" s="392"/>
    </row>
    <row r="6" spans="1:9" x14ac:dyDescent="0.25">
      <c r="A6" s="629" t="s">
        <v>872</v>
      </c>
      <c r="B6" s="629"/>
      <c r="C6" s="629"/>
      <c r="D6" s="629"/>
      <c r="E6" s="629"/>
      <c r="F6" s="629"/>
      <c r="G6" s="629"/>
      <c r="H6" s="629"/>
      <c r="I6" s="629"/>
    </row>
    <row r="7" spans="1:9" x14ac:dyDescent="0.25">
      <c r="A7" s="630" t="s">
        <v>832</v>
      </c>
      <c r="B7" s="630"/>
      <c r="C7" s="630"/>
      <c r="D7" s="630"/>
      <c r="E7" s="630"/>
      <c r="F7" s="630"/>
      <c r="G7" s="630"/>
      <c r="H7" s="630"/>
      <c r="I7" s="630"/>
    </row>
    <row r="8" spans="1:9" ht="18" x14ac:dyDescent="0.25">
      <c r="A8" s="1"/>
      <c r="B8" s="1"/>
      <c r="C8" s="1"/>
      <c r="D8" s="1"/>
      <c r="E8" s="1"/>
      <c r="F8" s="2"/>
      <c r="G8" s="2"/>
      <c r="H8" s="2"/>
      <c r="I8" s="2"/>
    </row>
    <row r="9" spans="1:9" ht="48" customHeight="1" x14ac:dyDescent="0.25">
      <c r="A9" s="613" t="s">
        <v>33</v>
      </c>
      <c r="B9" s="614"/>
      <c r="C9" s="615"/>
      <c r="D9" s="3" t="s">
        <v>34</v>
      </c>
      <c r="E9" s="4" t="s">
        <v>373</v>
      </c>
      <c r="F9" s="4" t="s">
        <v>472</v>
      </c>
      <c r="G9" s="391" t="s">
        <v>831</v>
      </c>
      <c r="H9" s="4" t="s">
        <v>472</v>
      </c>
      <c r="I9" s="4" t="s">
        <v>717</v>
      </c>
    </row>
    <row r="10" spans="1:9" s="206" customFormat="1" ht="19.5" customHeight="1" x14ac:dyDescent="0.25">
      <c r="A10" s="626" t="s">
        <v>128</v>
      </c>
      <c r="B10" s="627"/>
      <c r="C10" s="627"/>
      <c r="D10" s="628"/>
      <c r="E10" s="207">
        <f>E11+E32</f>
        <v>2025661</v>
      </c>
      <c r="F10" s="207">
        <f t="shared" ref="F10:I10" si="0">F11+F32</f>
        <v>45459.11</v>
      </c>
      <c r="G10" s="426">
        <f t="shared" si="0"/>
        <v>2097990.1100000003</v>
      </c>
      <c r="H10" s="426">
        <f t="shared" si="0"/>
        <v>-452515</v>
      </c>
      <c r="I10" s="426">
        <f t="shared" si="0"/>
        <v>1645475.11</v>
      </c>
    </row>
    <row r="11" spans="1:9" ht="15.75" customHeight="1" x14ac:dyDescent="0.25">
      <c r="A11" s="616" t="s">
        <v>66</v>
      </c>
      <c r="B11" s="616"/>
      <c r="C11" s="616"/>
      <c r="D11" s="616"/>
      <c r="E11" s="23">
        <f t="shared" ref="E11:I12" si="1">E12</f>
        <v>71510</v>
      </c>
      <c r="F11" s="23">
        <f>F12</f>
        <v>-1120</v>
      </c>
      <c r="G11" s="427">
        <f t="shared" si="1"/>
        <v>68540</v>
      </c>
      <c r="H11" s="427">
        <f>H12</f>
        <v>-5000</v>
      </c>
      <c r="I11" s="427">
        <f t="shared" si="1"/>
        <v>63540</v>
      </c>
    </row>
    <row r="12" spans="1:9" ht="15.75" customHeight="1" x14ac:dyDescent="0.25">
      <c r="A12" s="617" t="s">
        <v>67</v>
      </c>
      <c r="B12" s="618"/>
      <c r="C12" s="618"/>
      <c r="D12" s="619"/>
      <c r="E12" s="54">
        <f>E13</f>
        <v>71510</v>
      </c>
      <c r="F12" s="54">
        <f t="shared" si="1"/>
        <v>-1120</v>
      </c>
      <c r="G12" s="394">
        <f t="shared" si="1"/>
        <v>68540</v>
      </c>
      <c r="H12" s="394">
        <f t="shared" si="1"/>
        <v>-5000</v>
      </c>
      <c r="I12" s="54">
        <f t="shared" si="1"/>
        <v>63540</v>
      </c>
    </row>
    <row r="13" spans="1:9" ht="15" customHeight="1" x14ac:dyDescent="0.25">
      <c r="A13" s="37" t="s">
        <v>420</v>
      </c>
      <c r="B13" s="37"/>
      <c r="C13" s="37"/>
      <c r="D13" s="37"/>
      <c r="E13" s="38">
        <f>E14+E27+E21</f>
        <v>71510</v>
      </c>
      <c r="F13" s="38">
        <f t="shared" ref="F13:I13" si="2">F14+F27+F21</f>
        <v>-1120</v>
      </c>
      <c r="G13" s="395">
        <f t="shared" si="2"/>
        <v>68540</v>
      </c>
      <c r="H13" s="395">
        <f>H14+H27+H21</f>
        <v>-5000</v>
      </c>
      <c r="I13" s="38">
        <f t="shared" si="2"/>
        <v>63540</v>
      </c>
    </row>
    <row r="14" spans="1:9" ht="15" customHeight="1" x14ac:dyDescent="0.25">
      <c r="A14" s="620" t="s">
        <v>627</v>
      </c>
      <c r="B14" s="621"/>
      <c r="C14" s="621"/>
      <c r="D14" s="622"/>
      <c r="E14" s="28">
        <f t="shared" ref="E14:H14" si="3">E17</f>
        <v>43710</v>
      </c>
      <c r="F14" s="28">
        <f t="shared" si="3"/>
        <v>0</v>
      </c>
      <c r="G14" s="401">
        <f t="shared" si="3"/>
        <v>55860</v>
      </c>
      <c r="H14" s="401">
        <f t="shared" si="3"/>
        <v>1500</v>
      </c>
      <c r="I14" s="36">
        <f>I17</f>
        <v>57360</v>
      </c>
    </row>
    <row r="15" spans="1:9" ht="15" customHeight="1" x14ac:dyDescent="0.25">
      <c r="A15" s="176" t="s">
        <v>422</v>
      </c>
      <c r="B15" s="177"/>
      <c r="C15" s="177"/>
      <c r="D15" s="178"/>
      <c r="E15" s="179"/>
      <c r="F15" s="179"/>
      <c r="G15" s="397"/>
      <c r="H15" s="179"/>
      <c r="I15" s="179"/>
    </row>
    <row r="16" spans="1:9" ht="15" customHeight="1" x14ac:dyDescent="0.25">
      <c r="A16" s="511" t="s">
        <v>69</v>
      </c>
      <c r="B16" s="512"/>
      <c r="C16" s="512"/>
      <c r="D16" s="512"/>
      <c r="E16" s="20">
        <f t="shared" ref="E16:G16" si="4">E17</f>
        <v>43710</v>
      </c>
      <c r="F16" s="20">
        <f t="shared" si="4"/>
        <v>0</v>
      </c>
      <c r="G16" s="398">
        <f t="shared" si="4"/>
        <v>55860</v>
      </c>
      <c r="H16" s="20">
        <f>H17</f>
        <v>1500</v>
      </c>
      <c r="I16" s="20">
        <f>G16+H16</f>
        <v>57360</v>
      </c>
    </row>
    <row r="17" spans="1:9" x14ac:dyDescent="0.25">
      <c r="A17" s="496">
        <v>3</v>
      </c>
      <c r="B17" s="497"/>
      <c r="C17" s="498"/>
      <c r="D17" s="5" t="s">
        <v>19</v>
      </c>
      <c r="E17" s="8">
        <f t="shared" ref="E17" si="5">E18+E19+E20</f>
        <v>43710</v>
      </c>
      <c r="F17" s="8">
        <f>F18+F19+F20</f>
        <v>0</v>
      </c>
      <c r="G17" s="399">
        <f>G18+G19+G20</f>
        <v>55860</v>
      </c>
      <c r="H17" s="9">
        <f>H18+H19+H20</f>
        <v>1500</v>
      </c>
      <c r="I17" s="9">
        <f>G17+H17</f>
        <v>57360</v>
      </c>
    </row>
    <row r="18" spans="1:9" x14ac:dyDescent="0.25">
      <c r="A18" s="502">
        <v>31</v>
      </c>
      <c r="B18" s="503"/>
      <c r="C18" s="504"/>
      <c r="D18" s="5" t="s">
        <v>22</v>
      </c>
      <c r="E18" s="9">
        <v>29710</v>
      </c>
      <c r="F18" s="9"/>
      <c r="G18" s="400">
        <v>39860</v>
      </c>
      <c r="H18" s="10">
        <f>1000+200</f>
        <v>1200</v>
      </c>
      <c r="I18" s="9">
        <f t="shared" ref="I18:I20" si="6">G18+H18</f>
        <v>41060</v>
      </c>
    </row>
    <row r="19" spans="1:9" x14ac:dyDescent="0.25">
      <c r="A19" s="499">
        <v>32</v>
      </c>
      <c r="B19" s="500"/>
      <c r="C19" s="501"/>
      <c r="D19" s="5" t="s">
        <v>35</v>
      </c>
      <c r="E19" s="9">
        <v>13000</v>
      </c>
      <c r="F19" s="9"/>
      <c r="G19" s="400">
        <v>15000</v>
      </c>
      <c r="H19" s="10">
        <v>300</v>
      </c>
      <c r="I19" s="9">
        <f t="shared" si="6"/>
        <v>15300</v>
      </c>
    </row>
    <row r="20" spans="1:9" x14ac:dyDescent="0.25">
      <c r="A20" s="499">
        <v>38</v>
      </c>
      <c r="B20" s="500"/>
      <c r="C20" s="501"/>
      <c r="D20" s="5" t="s">
        <v>52</v>
      </c>
      <c r="E20" s="9">
        <v>1000</v>
      </c>
      <c r="F20" s="9"/>
      <c r="G20" s="400">
        <f>E20+F20</f>
        <v>1000</v>
      </c>
      <c r="H20" s="10"/>
      <c r="I20" s="9">
        <f t="shared" si="6"/>
        <v>1000</v>
      </c>
    </row>
    <row r="21" spans="1:9" ht="30.75" customHeight="1" x14ac:dyDescent="0.25">
      <c r="A21" s="518" t="s">
        <v>626</v>
      </c>
      <c r="B21" s="519"/>
      <c r="C21" s="519"/>
      <c r="D21" s="520"/>
      <c r="E21" s="36">
        <f t="shared" ref="E21:F21" si="7">E23</f>
        <v>5800</v>
      </c>
      <c r="F21" s="36">
        <f t="shared" si="7"/>
        <v>-1120</v>
      </c>
      <c r="G21" s="401">
        <f>G23</f>
        <v>4680</v>
      </c>
      <c r="H21" s="401">
        <f>H24</f>
        <v>1500</v>
      </c>
      <c r="I21" s="36">
        <f>G21+H21</f>
        <v>6180</v>
      </c>
    </row>
    <row r="22" spans="1:9" ht="15" customHeight="1" x14ac:dyDescent="0.25">
      <c r="A22" s="176" t="s">
        <v>422</v>
      </c>
      <c r="B22" s="177"/>
      <c r="C22" s="177"/>
      <c r="D22" s="178"/>
      <c r="E22" s="179"/>
      <c r="F22" s="179"/>
      <c r="G22" s="397"/>
      <c r="H22" s="179"/>
      <c r="I22" s="179"/>
    </row>
    <row r="23" spans="1:9" x14ac:dyDescent="0.25">
      <c r="A23" s="494" t="s">
        <v>70</v>
      </c>
      <c r="B23" s="495"/>
      <c r="C23" s="495"/>
      <c r="D23" s="495"/>
      <c r="E23" s="21">
        <f t="shared" ref="E23:G23" si="8">E24</f>
        <v>5800</v>
      </c>
      <c r="F23" s="21">
        <f t="shared" si="8"/>
        <v>-1120</v>
      </c>
      <c r="G23" s="402">
        <f t="shared" si="8"/>
        <v>4680</v>
      </c>
      <c r="H23" s="21">
        <v>1500</v>
      </c>
      <c r="I23" s="21">
        <f>G23+H23</f>
        <v>6180</v>
      </c>
    </row>
    <row r="24" spans="1:9" x14ac:dyDescent="0.25">
      <c r="A24" s="496">
        <v>3</v>
      </c>
      <c r="B24" s="497"/>
      <c r="C24" s="498"/>
      <c r="D24" s="5" t="s">
        <v>19</v>
      </c>
      <c r="E24" s="8">
        <f t="shared" ref="E24:G24" si="9">E25+E26</f>
        <v>5800</v>
      </c>
      <c r="F24" s="8">
        <f t="shared" si="9"/>
        <v>-1120</v>
      </c>
      <c r="G24" s="399">
        <f t="shared" si="9"/>
        <v>4680</v>
      </c>
      <c r="H24" s="9">
        <f>H25</f>
        <v>1500</v>
      </c>
      <c r="I24" s="9">
        <f>G24+H24</f>
        <v>6180</v>
      </c>
    </row>
    <row r="25" spans="1:9" x14ac:dyDescent="0.25">
      <c r="A25" s="499">
        <v>32</v>
      </c>
      <c r="B25" s="500"/>
      <c r="C25" s="501"/>
      <c r="D25" s="5" t="s">
        <v>35</v>
      </c>
      <c r="E25" s="9">
        <v>4150</v>
      </c>
      <c r="F25" s="9">
        <v>-1000</v>
      </c>
      <c r="G25" s="400">
        <f>E25+F25</f>
        <v>3150</v>
      </c>
      <c r="H25" s="10">
        <v>1500</v>
      </c>
      <c r="I25" s="9">
        <f>G25+H25</f>
        <v>4650</v>
      </c>
    </row>
    <row r="26" spans="1:9" x14ac:dyDescent="0.25">
      <c r="A26" s="499">
        <v>38</v>
      </c>
      <c r="B26" s="500"/>
      <c r="C26" s="501"/>
      <c r="D26" s="5" t="s">
        <v>52</v>
      </c>
      <c r="E26" s="9">
        <v>1650</v>
      </c>
      <c r="F26" s="9">
        <v>-120</v>
      </c>
      <c r="G26" s="400">
        <f>E26+F26</f>
        <v>1530</v>
      </c>
      <c r="H26" s="10"/>
      <c r="I26" s="9">
        <f t="shared" ref="I26" si="10">G26+H26</f>
        <v>1530</v>
      </c>
    </row>
    <row r="27" spans="1:9" ht="15" customHeight="1" x14ac:dyDescent="0.25">
      <c r="A27" s="513" t="s">
        <v>833</v>
      </c>
      <c r="B27" s="514"/>
      <c r="C27" s="514"/>
      <c r="D27" s="515"/>
      <c r="E27" s="205">
        <f>E30</f>
        <v>22000</v>
      </c>
      <c r="F27" s="205">
        <f t="shared" ref="F27:I27" si="11">F30</f>
        <v>0</v>
      </c>
      <c r="G27" s="403">
        <f t="shared" si="11"/>
        <v>8000</v>
      </c>
      <c r="H27" s="403">
        <f t="shared" si="11"/>
        <v>-8000</v>
      </c>
      <c r="I27" s="205">
        <f t="shared" si="11"/>
        <v>0</v>
      </c>
    </row>
    <row r="28" spans="1:9" ht="15" customHeight="1" x14ac:dyDescent="0.25">
      <c r="A28" s="176" t="s">
        <v>423</v>
      </c>
      <c r="B28" s="177"/>
      <c r="C28" s="177"/>
      <c r="D28" s="178"/>
      <c r="E28" s="179"/>
      <c r="F28" s="179"/>
      <c r="G28" s="397"/>
      <c r="H28" s="179"/>
      <c r="I28" s="179"/>
    </row>
    <row r="29" spans="1:9" x14ac:dyDescent="0.25">
      <c r="A29" s="18" t="s">
        <v>693</v>
      </c>
      <c r="B29" s="17"/>
      <c r="C29" s="17"/>
      <c r="D29" s="17"/>
      <c r="E29" s="25">
        <f>E27</f>
        <v>22000</v>
      </c>
      <c r="F29" s="25">
        <f t="shared" ref="F29:G29" si="12">F27</f>
        <v>0</v>
      </c>
      <c r="G29" s="404">
        <f t="shared" si="12"/>
        <v>8000</v>
      </c>
      <c r="H29" s="25">
        <f>H30</f>
        <v>-8000</v>
      </c>
      <c r="I29" s="25">
        <f>G29+H29</f>
        <v>0</v>
      </c>
    </row>
    <row r="30" spans="1:9" x14ac:dyDescent="0.25">
      <c r="A30" s="496">
        <v>3</v>
      </c>
      <c r="B30" s="497"/>
      <c r="C30" s="498"/>
      <c r="D30" s="11" t="s">
        <v>19</v>
      </c>
      <c r="E30" s="19">
        <f>E31</f>
        <v>22000</v>
      </c>
      <c r="F30" s="19">
        <f t="shared" ref="F30:G30" si="13">F31</f>
        <v>0</v>
      </c>
      <c r="G30" s="405">
        <f t="shared" si="13"/>
        <v>8000</v>
      </c>
      <c r="H30" s="19">
        <f>H31</f>
        <v>-8000</v>
      </c>
      <c r="I30" s="19">
        <f>G30+H30</f>
        <v>0</v>
      </c>
    </row>
    <row r="31" spans="1:9" x14ac:dyDescent="0.25">
      <c r="A31" s="499">
        <v>32</v>
      </c>
      <c r="B31" s="500"/>
      <c r="C31" s="501"/>
      <c r="D31" s="11" t="s">
        <v>35</v>
      </c>
      <c r="E31" s="19">
        <v>22000</v>
      </c>
      <c r="F31" s="19"/>
      <c r="G31" s="405">
        <v>8000</v>
      </c>
      <c r="H31" s="19">
        <v>-8000</v>
      </c>
      <c r="I31" s="19">
        <f>G31+H31</f>
        <v>0</v>
      </c>
    </row>
    <row r="32" spans="1:9" ht="15.75" x14ac:dyDescent="0.25">
      <c r="A32" s="623" t="s">
        <v>72</v>
      </c>
      <c r="B32" s="624"/>
      <c r="C32" s="624"/>
      <c r="D32" s="624"/>
      <c r="E32" s="24">
        <f>E33+E85+E101+E286+E331+E347+E367+E399</f>
        <v>1954151</v>
      </c>
      <c r="F32" s="24">
        <f>F33+F85+F101+F286+F331+F347+F367+F399</f>
        <v>46579.11</v>
      </c>
      <c r="G32" s="406">
        <f>G33+G85+G101+G286+G331+G347+G367+G399</f>
        <v>2029450.11</v>
      </c>
      <c r="H32" s="406">
        <f>H33+H85+H101+H286+H331+H347+H367+H399</f>
        <v>-447515</v>
      </c>
      <c r="I32" s="406">
        <f>I33+I85+I101+I286+I331+I347+I367+I399</f>
        <v>1581935.11</v>
      </c>
    </row>
    <row r="33" spans="1:9" x14ac:dyDescent="0.25">
      <c r="A33" s="53" t="s">
        <v>73</v>
      </c>
      <c r="B33" s="53"/>
      <c r="C33" s="53"/>
      <c r="D33" s="53"/>
      <c r="E33" s="54">
        <f>E34+E78+E72</f>
        <v>302166</v>
      </c>
      <c r="F33" s="54">
        <f>F34+F78+F72</f>
        <v>-12476</v>
      </c>
      <c r="G33" s="394">
        <f>G34+G78+G72</f>
        <v>297860</v>
      </c>
      <c r="H33" s="394">
        <f t="shared" ref="H33:I33" si="14">H34+H78+H72</f>
        <v>-16184</v>
      </c>
      <c r="I33" s="394">
        <f t="shared" si="14"/>
        <v>281676</v>
      </c>
    </row>
    <row r="34" spans="1:9" x14ac:dyDescent="0.25">
      <c r="A34" s="508" t="s">
        <v>421</v>
      </c>
      <c r="B34" s="509"/>
      <c r="C34" s="509"/>
      <c r="D34" s="510"/>
      <c r="E34" s="41">
        <f>E35+E43+E57+E62+E67</f>
        <v>270176</v>
      </c>
      <c r="F34" s="41">
        <f>F35+F43+F57+F62+F67</f>
        <v>-10488</v>
      </c>
      <c r="G34" s="407">
        <f>G35+G43+G57+G62+G67+G50</f>
        <v>267858</v>
      </c>
      <c r="H34" s="407">
        <f t="shared" ref="H34:I34" si="15">H35+H43+H57+H62+H67+H50</f>
        <v>-18184</v>
      </c>
      <c r="I34" s="407">
        <f t="shared" si="15"/>
        <v>249674</v>
      </c>
    </row>
    <row r="35" spans="1:9" ht="28.5" customHeight="1" x14ac:dyDescent="0.25">
      <c r="A35" s="513" t="s">
        <v>628</v>
      </c>
      <c r="B35" s="514"/>
      <c r="C35" s="514"/>
      <c r="D35" s="514"/>
      <c r="E35" s="34">
        <f>E40</f>
        <v>211476</v>
      </c>
      <c r="F35" s="34">
        <f t="shared" ref="F35:I35" si="16">F40</f>
        <v>-2088</v>
      </c>
      <c r="G35" s="440">
        <f t="shared" si="16"/>
        <v>221058</v>
      </c>
      <c r="H35" s="440">
        <f t="shared" si="16"/>
        <v>1966</v>
      </c>
      <c r="I35" s="441">
        <f t="shared" si="16"/>
        <v>223024</v>
      </c>
    </row>
    <row r="36" spans="1:9" ht="15" customHeight="1" x14ac:dyDescent="0.25">
      <c r="A36" s="176" t="s">
        <v>423</v>
      </c>
      <c r="B36" s="181"/>
      <c r="C36" s="181"/>
      <c r="D36" s="181"/>
      <c r="E36" s="180"/>
      <c r="F36" s="180"/>
      <c r="G36" s="408"/>
      <c r="H36" s="180"/>
      <c r="I36" s="180"/>
    </row>
    <row r="37" spans="1:9" s="146" customFormat="1" ht="15" customHeight="1" x14ac:dyDescent="0.25">
      <c r="A37" s="511" t="s">
        <v>69</v>
      </c>
      <c r="B37" s="512"/>
      <c r="C37" s="512"/>
      <c r="D37" s="512"/>
      <c r="E37" s="26">
        <f>E35-E38-E39</f>
        <v>211296</v>
      </c>
      <c r="F37" s="26">
        <v>-2088</v>
      </c>
      <c r="G37" s="409">
        <v>220878</v>
      </c>
      <c r="H37" s="26">
        <v>2016</v>
      </c>
      <c r="I37" s="26">
        <f>G37+H37</f>
        <v>222894</v>
      </c>
    </row>
    <row r="38" spans="1:9" s="146" customFormat="1" ht="15" customHeight="1" x14ac:dyDescent="0.25">
      <c r="A38" s="494" t="s">
        <v>702</v>
      </c>
      <c r="B38" s="495"/>
      <c r="C38" s="495"/>
      <c r="D38" s="495"/>
      <c r="E38" s="26">
        <v>130</v>
      </c>
      <c r="F38" s="26"/>
      <c r="G38" s="409">
        <f>E38+F38</f>
        <v>130</v>
      </c>
      <c r="H38" s="26">
        <v>-50</v>
      </c>
      <c r="I38" s="26">
        <f t="shared" ref="I38:I39" si="17">G38+H38</f>
        <v>80</v>
      </c>
    </row>
    <row r="39" spans="1:9" s="146" customFormat="1" ht="15" customHeight="1" x14ac:dyDescent="0.25">
      <c r="A39" s="494" t="s">
        <v>703</v>
      </c>
      <c r="B39" s="495"/>
      <c r="C39" s="495"/>
      <c r="D39" s="495"/>
      <c r="E39" s="26">
        <v>50</v>
      </c>
      <c r="F39" s="26"/>
      <c r="G39" s="409">
        <f>E39+F39</f>
        <v>50</v>
      </c>
      <c r="H39" s="26"/>
      <c r="I39" s="26">
        <f t="shared" si="17"/>
        <v>50</v>
      </c>
    </row>
    <row r="40" spans="1:9" x14ac:dyDescent="0.25">
      <c r="A40" s="496">
        <v>3</v>
      </c>
      <c r="B40" s="497"/>
      <c r="C40" s="498"/>
      <c r="D40" s="5" t="s">
        <v>19</v>
      </c>
      <c r="E40" s="19">
        <f>E41+E42</f>
        <v>211476</v>
      </c>
      <c r="F40" s="19">
        <f t="shared" ref="F40:G40" si="18">F41+F42</f>
        <v>-2088</v>
      </c>
      <c r="G40" s="405">
        <f t="shared" si="18"/>
        <v>221058</v>
      </c>
      <c r="H40" s="19">
        <f>H41+H42</f>
        <v>1966</v>
      </c>
      <c r="I40" s="19">
        <f>G40+H40</f>
        <v>223024</v>
      </c>
    </row>
    <row r="41" spans="1:9" x14ac:dyDescent="0.25">
      <c r="A41" s="502">
        <v>31</v>
      </c>
      <c r="B41" s="503"/>
      <c r="C41" s="504"/>
      <c r="D41" s="5" t="s">
        <v>22</v>
      </c>
      <c r="E41" s="19">
        <v>115860</v>
      </c>
      <c r="F41" s="19"/>
      <c r="G41" s="405">
        <v>116460</v>
      </c>
      <c r="H41" s="19"/>
      <c r="I41" s="19">
        <f t="shared" ref="I41:I42" si="19">G41+H41</f>
        <v>116460</v>
      </c>
    </row>
    <row r="42" spans="1:9" x14ac:dyDescent="0.25">
      <c r="A42" s="499">
        <v>32</v>
      </c>
      <c r="B42" s="500"/>
      <c r="C42" s="501"/>
      <c r="D42" s="5" t="s">
        <v>35</v>
      </c>
      <c r="E42" s="19">
        <v>95616</v>
      </c>
      <c r="F42" s="19">
        <f>-1568-1820+1300</f>
        <v>-2088</v>
      </c>
      <c r="G42" s="405">
        <v>104598</v>
      </c>
      <c r="H42" s="19">
        <f>100+1000+200+6+100+1500-400-1000-500-240+500+1200-500</f>
        <v>1966</v>
      </c>
      <c r="I42" s="19">
        <f t="shared" si="19"/>
        <v>106564</v>
      </c>
    </row>
    <row r="43" spans="1:9" x14ac:dyDescent="0.25">
      <c r="A43" s="491" t="s">
        <v>629</v>
      </c>
      <c r="B43" s="492"/>
      <c r="C43" s="492"/>
      <c r="D43" s="493"/>
      <c r="E43" s="34">
        <f t="shared" ref="E43:I43" si="20">E46</f>
        <v>4200</v>
      </c>
      <c r="F43" s="34">
        <f t="shared" si="20"/>
        <v>1600</v>
      </c>
      <c r="G43" s="440">
        <f t="shared" si="20"/>
        <v>5800</v>
      </c>
      <c r="H43" s="440">
        <f t="shared" si="20"/>
        <v>-500</v>
      </c>
      <c r="I43" s="441">
        <f t="shared" si="20"/>
        <v>5300</v>
      </c>
    </row>
    <row r="44" spans="1:9" ht="15" customHeight="1" x14ac:dyDescent="0.25">
      <c r="A44" s="176" t="s">
        <v>423</v>
      </c>
      <c r="B44" s="181"/>
      <c r="C44" s="181"/>
      <c r="D44" s="181"/>
      <c r="E44" s="180"/>
      <c r="F44" s="180"/>
      <c r="G44" s="408"/>
      <c r="H44" s="180"/>
      <c r="I44" s="180"/>
    </row>
    <row r="45" spans="1:9" x14ac:dyDescent="0.25">
      <c r="A45" s="494" t="s">
        <v>70</v>
      </c>
      <c r="B45" s="495"/>
      <c r="C45" s="495"/>
      <c r="D45" s="495"/>
      <c r="E45" s="26">
        <f>E43</f>
        <v>4200</v>
      </c>
      <c r="F45" s="26">
        <f t="shared" ref="F45:G45" si="21">F43</f>
        <v>1600</v>
      </c>
      <c r="G45" s="409">
        <f t="shared" si="21"/>
        <v>5800</v>
      </c>
      <c r="H45" s="26">
        <v>-500</v>
      </c>
      <c r="I45" s="26">
        <f>G45+H45</f>
        <v>5300</v>
      </c>
    </row>
    <row r="46" spans="1:9" x14ac:dyDescent="0.25">
      <c r="A46" s="496">
        <v>3</v>
      </c>
      <c r="B46" s="497"/>
      <c r="C46" s="498"/>
      <c r="D46" s="5" t="s">
        <v>19</v>
      </c>
      <c r="E46" s="19">
        <f>E47+E48+E49</f>
        <v>4200</v>
      </c>
      <c r="F46" s="19">
        <f>F47+F48+F49</f>
        <v>1600</v>
      </c>
      <c r="G46" s="405">
        <f>G47+G48+G49</f>
        <v>5800</v>
      </c>
      <c r="H46" s="19">
        <f>H47</f>
        <v>-500</v>
      </c>
      <c r="I46" s="19">
        <f>G46+H46</f>
        <v>5300</v>
      </c>
    </row>
    <row r="47" spans="1:9" x14ac:dyDescent="0.25">
      <c r="A47" s="499">
        <v>32</v>
      </c>
      <c r="B47" s="500"/>
      <c r="C47" s="501"/>
      <c r="D47" s="11" t="s">
        <v>35</v>
      </c>
      <c r="E47" s="19">
        <v>1000</v>
      </c>
      <c r="F47" s="19">
        <v>1100</v>
      </c>
      <c r="G47" s="405">
        <f>E47+F47</f>
        <v>2100</v>
      </c>
      <c r="H47" s="19">
        <v>-500</v>
      </c>
      <c r="I47" s="19">
        <f t="shared" ref="I47:I49" si="22">G47+H47</f>
        <v>1600</v>
      </c>
    </row>
    <row r="48" spans="1:9" x14ac:dyDescent="0.25">
      <c r="A48" s="499">
        <v>34</v>
      </c>
      <c r="B48" s="500"/>
      <c r="C48" s="501"/>
      <c r="D48" s="11" t="s">
        <v>115</v>
      </c>
      <c r="E48" s="19">
        <v>3200</v>
      </c>
      <c r="F48" s="19"/>
      <c r="G48" s="405">
        <f>E48+F48</f>
        <v>3200</v>
      </c>
      <c r="H48" s="19"/>
      <c r="I48" s="19">
        <f t="shared" si="22"/>
        <v>3200</v>
      </c>
    </row>
    <row r="49" spans="1:9" x14ac:dyDescent="0.25">
      <c r="A49" s="499">
        <v>38</v>
      </c>
      <c r="B49" s="500"/>
      <c r="C49" s="501"/>
      <c r="D49" s="11" t="s">
        <v>766</v>
      </c>
      <c r="E49" s="19"/>
      <c r="F49" s="19">
        <v>500</v>
      </c>
      <c r="G49" s="405">
        <f>E49+F49</f>
        <v>500</v>
      </c>
      <c r="H49" s="19"/>
      <c r="I49" s="19">
        <f t="shared" si="22"/>
        <v>500</v>
      </c>
    </row>
    <row r="50" spans="1:9" x14ac:dyDescent="0.25">
      <c r="A50" s="491" t="s">
        <v>869</v>
      </c>
      <c r="B50" s="492"/>
      <c r="C50" s="492"/>
      <c r="D50" s="493"/>
      <c r="E50" s="19"/>
      <c r="F50" s="19"/>
      <c r="G50" s="455"/>
      <c r="H50" s="456">
        <f>H53+H55</f>
        <v>7850</v>
      </c>
      <c r="I50" s="156">
        <f>G50+H50</f>
        <v>7850</v>
      </c>
    </row>
    <row r="51" spans="1:9" x14ac:dyDescent="0.25">
      <c r="A51" s="176" t="s">
        <v>423</v>
      </c>
      <c r="B51" s="181"/>
      <c r="C51" s="181"/>
      <c r="D51" s="181"/>
      <c r="E51" s="19"/>
      <c r="F51" s="19"/>
      <c r="G51" s="405"/>
      <c r="H51" s="405"/>
      <c r="I51" s="19"/>
    </row>
    <row r="52" spans="1:9" x14ac:dyDescent="0.25">
      <c r="A52" s="494" t="s">
        <v>70</v>
      </c>
      <c r="B52" s="495"/>
      <c r="C52" s="495"/>
      <c r="D52" s="495"/>
      <c r="E52" s="19"/>
      <c r="F52" s="19"/>
      <c r="G52" s="409"/>
      <c r="H52" s="409">
        <v>7850</v>
      </c>
      <c r="I52" s="26">
        <f>G52+H52</f>
        <v>7850</v>
      </c>
    </row>
    <row r="53" spans="1:9" x14ac:dyDescent="0.25">
      <c r="A53" s="496">
        <v>3</v>
      </c>
      <c r="B53" s="497"/>
      <c r="C53" s="498"/>
      <c r="D53" s="5" t="s">
        <v>19</v>
      </c>
      <c r="E53" s="19"/>
      <c r="F53" s="19"/>
      <c r="G53" s="405"/>
      <c r="H53" s="405">
        <f>H54</f>
        <v>7000</v>
      </c>
      <c r="I53" s="19">
        <f>G53+H53</f>
        <v>7000</v>
      </c>
    </row>
    <row r="54" spans="1:9" x14ac:dyDescent="0.25">
      <c r="A54" s="499">
        <v>32</v>
      </c>
      <c r="B54" s="500"/>
      <c r="C54" s="501"/>
      <c r="D54" s="11" t="s">
        <v>35</v>
      </c>
      <c r="E54" s="19"/>
      <c r="F54" s="19"/>
      <c r="G54" s="405"/>
      <c r="H54" s="405">
        <f>6500+500</f>
        <v>7000</v>
      </c>
      <c r="I54" s="19">
        <f>G54+H54</f>
        <v>7000</v>
      </c>
    </row>
    <row r="55" spans="1:9" ht="25.5" x14ac:dyDescent="0.25">
      <c r="A55" s="496">
        <v>4</v>
      </c>
      <c r="B55" s="497"/>
      <c r="C55" s="498"/>
      <c r="D55" s="5" t="s">
        <v>5</v>
      </c>
      <c r="E55" s="19"/>
      <c r="F55" s="19"/>
      <c r="G55" s="405"/>
      <c r="H55" s="405">
        <f>H56</f>
        <v>850</v>
      </c>
      <c r="I55" s="19">
        <f>G55+H55</f>
        <v>850</v>
      </c>
    </row>
    <row r="56" spans="1:9" ht="25.5" x14ac:dyDescent="0.25">
      <c r="A56" s="502">
        <v>42</v>
      </c>
      <c r="B56" s="503"/>
      <c r="C56" s="504"/>
      <c r="D56" s="5" t="s">
        <v>114</v>
      </c>
      <c r="E56" s="19"/>
      <c r="F56" s="19"/>
      <c r="G56" s="405"/>
      <c r="H56" s="405">
        <v>850</v>
      </c>
      <c r="I56" s="19">
        <f>G56+H56</f>
        <v>850</v>
      </c>
    </row>
    <row r="57" spans="1:9" x14ac:dyDescent="0.25">
      <c r="A57" s="491" t="s">
        <v>871</v>
      </c>
      <c r="B57" s="492"/>
      <c r="C57" s="492"/>
      <c r="D57" s="493"/>
      <c r="E57" s="34">
        <f>E60</f>
        <v>20000</v>
      </c>
      <c r="F57" s="34">
        <f t="shared" ref="F57:I57" si="23">F60</f>
        <v>0</v>
      </c>
      <c r="G57" s="440">
        <f t="shared" si="23"/>
        <v>15000</v>
      </c>
      <c r="H57" s="440">
        <f t="shared" si="23"/>
        <v>-12000</v>
      </c>
      <c r="I57" s="441">
        <f t="shared" si="23"/>
        <v>3000</v>
      </c>
    </row>
    <row r="58" spans="1:9" ht="15" customHeight="1" x14ac:dyDescent="0.25">
      <c r="A58" s="176" t="s">
        <v>423</v>
      </c>
      <c r="B58" s="181"/>
      <c r="C58" s="181"/>
      <c r="D58" s="181"/>
      <c r="E58" s="180"/>
      <c r="F58" s="180"/>
      <c r="G58" s="408"/>
      <c r="H58" s="180"/>
      <c r="I58" s="180"/>
    </row>
    <row r="59" spans="1:9" x14ac:dyDescent="0.25">
      <c r="A59" s="494" t="s">
        <v>70</v>
      </c>
      <c r="B59" s="495"/>
      <c r="C59" s="495"/>
      <c r="D59" s="495"/>
      <c r="E59" s="26">
        <f>E57</f>
        <v>20000</v>
      </c>
      <c r="F59" s="26">
        <f t="shared" ref="F59:G59" si="24">F57</f>
        <v>0</v>
      </c>
      <c r="G59" s="409">
        <f t="shared" si="24"/>
        <v>15000</v>
      </c>
      <c r="H59" s="26">
        <f>H60</f>
        <v>-12000</v>
      </c>
      <c r="I59" s="26">
        <f>G59+H59</f>
        <v>3000</v>
      </c>
    </row>
    <row r="60" spans="1:9" ht="30" customHeight="1" x14ac:dyDescent="0.25">
      <c r="A60" s="496">
        <v>4</v>
      </c>
      <c r="B60" s="497"/>
      <c r="C60" s="498"/>
      <c r="D60" s="5" t="s">
        <v>5</v>
      </c>
      <c r="E60" s="19">
        <f>E61</f>
        <v>20000</v>
      </c>
      <c r="F60" s="19">
        <f t="shared" ref="F60:G60" si="25">F61</f>
        <v>0</v>
      </c>
      <c r="G60" s="405">
        <f t="shared" si="25"/>
        <v>15000</v>
      </c>
      <c r="H60" s="19">
        <f>H61</f>
        <v>-12000</v>
      </c>
      <c r="I60" s="19">
        <f>G60+H60</f>
        <v>3000</v>
      </c>
    </row>
    <row r="61" spans="1:9" ht="30" customHeight="1" x14ac:dyDescent="0.25">
      <c r="A61" s="502">
        <v>42</v>
      </c>
      <c r="B61" s="503"/>
      <c r="C61" s="504"/>
      <c r="D61" s="5" t="s">
        <v>114</v>
      </c>
      <c r="E61" s="19">
        <v>20000</v>
      </c>
      <c r="F61" s="19"/>
      <c r="G61" s="405">
        <v>15000</v>
      </c>
      <c r="H61" s="19">
        <v>-12000</v>
      </c>
      <c r="I61" s="19">
        <f>G61+H61</f>
        <v>3000</v>
      </c>
    </row>
    <row r="62" spans="1:9" ht="29.25" customHeight="1" x14ac:dyDescent="0.25">
      <c r="A62" s="518" t="s">
        <v>673</v>
      </c>
      <c r="B62" s="519"/>
      <c r="C62" s="519"/>
      <c r="D62" s="520"/>
      <c r="E62" s="34">
        <f>E65</f>
        <v>20000</v>
      </c>
      <c r="F62" s="34">
        <f>F65</f>
        <v>-5000</v>
      </c>
      <c r="G62" s="440">
        <f>E62+F62</f>
        <v>15000</v>
      </c>
      <c r="H62" s="441">
        <f>H65</f>
        <v>-15000</v>
      </c>
      <c r="I62" s="441">
        <f>G62+H62</f>
        <v>0</v>
      </c>
    </row>
    <row r="63" spans="1:9" ht="15" customHeight="1" x14ac:dyDescent="0.25">
      <c r="A63" s="176" t="s">
        <v>423</v>
      </c>
      <c r="B63" s="181"/>
      <c r="C63" s="181"/>
      <c r="D63" s="181"/>
      <c r="E63" s="180"/>
      <c r="F63" s="180"/>
      <c r="G63" s="408"/>
      <c r="H63" s="180"/>
      <c r="I63" s="180"/>
    </row>
    <row r="64" spans="1:9" x14ac:dyDescent="0.25">
      <c r="A64" s="494" t="s">
        <v>70</v>
      </c>
      <c r="B64" s="495"/>
      <c r="C64" s="495"/>
      <c r="D64" s="495"/>
      <c r="E64" s="26">
        <f>E62</f>
        <v>20000</v>
      </c>
      <c r="F64" s="26">
        <f>F65</f>
        <v>-5000</v>
      </c>
      <c r="G64" s="409">
        <f>E64+F64</f>
        <v>15000</v>
      </c>
      <c r="H64" s="26">
        <v>-15000</v>
      </c>
      <c r="I64" s="26">
        <f>G64+H64</f>
        <v>0</v>
      </c>
    </row>
    <row r="65" spans="1:9" x14ac:dyDescent="0.25">
      <c r="A65" s="496">
        <v>3</v>
      </c>
      <c r="B65" s="497"/>
      <c r="C65" s="498"/>
      <c r="D65" s="5" t="s">
        <v>19</v>
      </c>
      <c r="E65" s="19">
        <f>E66</f>
        <v>20000</v>
      </c>
      <c r="F65" s="19">
        <f t="shared" ref="F65:G65" si="26">F66</f>
        <v>-5000</v>
      </c>
      <c r="G65" s="405">
        <f t="shared" si="26"/>
        <v>15000</v>
      </c>
      <c r="H65" s="19">
        <f>H66</f>
        <v>-15000</v>
      </c>
      <c r="I65" s="19">
        <f>G65+H65</f>
        <v>0</v>
      </c>
    </row>
    <row r="66" spans="1:9" x14ac:dyDescent="0.25">
      <c r="A66" s="499">
        <v>32</v>
      </c>
      <c r="B66" s="500"/>
      <c r="C66" s="501"/>
      <c r="D66" s="11" t="s">
        <v>35</v>
      </c>
      <c r="E66" s="19">
        <v>20000</v>
      </c>
      <c r="F66" s="19">
        <v>-5000</v>
      </c>
      <c r="G66" s="405">
        <f>E66+F66</f>
        <v>15000</v>
      </c>
      <c r="H66" s="19">
        <v>-15000</v>
      </c>
      <c r="I66" s="19">
        <f>G66+H66</f>
        <v>0</v>
      </c>
    </row>
    <row r="67" spans="1:9" x14ac:dyDescent="0.25">
      <c r="A67" s="620" t="s">
        <v>630</v>
      </c>
      <c r="B67" s="621"/>
      <c r="C67" s="621"/>
      <c r="D67" s="622"/>
      <c r="E67" s="156">
        <f>E70</f>
        <v>14500</v>
      </c>
      <c r="F67" s="156">
        <f t="shared" ref="F67:I67" si="27">F70</f>
        <v>-5000</v>
      </c>
      <c r="G67" s="414">
        <f t="shared" si="27"/>
        <v>11000</v>
      </c>
      <c r="H67" s="414">
        <f t="shared" si="27"/>
        <v>-500</v>
      </c>
      <c r="I67" s="209">
        <f t="shared" si="27"/>
        <v>10500</v>
      </c>
    </row>
    <row r="68" spans="1:9" x14ac:dyDescent="0.25">
      <c r="A68" s="176" t="s">
        <v>423</v>
      </c>
      <c r="B68" s="181"/>
      <c r="C68" s="181"/>
      <c r="D68" s="181"/>
      <c r="E68" s="211"/>
      <c r="F68" s="211"/>
      <c r="G68" s="410"/>
      <c r="H68" s="211"/>
      <c r="I68" s="211"/>
    </row>
    <row r="69" spans="1:9" x14ac:dyDescent="0.25">
      <c r="A69" s="511" t="s">
        <v>69</v>
      </c>
      <c r="B69" s="512"/>
      <c r="C69" s="512"/>
      <c r="D69" s="512"/>
      <c r="E69" s="26">
        <f>E67</f>
        <v>14500</v>
      </c>
      <c r="F69" s="26">
        <f t="shared" ref="F69:G69" si="28">F67</f>
        <v>-5000</v>
      </c>
      <c r="G69" s="409">
        <f t="shared" si="28"/>
        <v>11000</v>
      </c>
      <c r="H69" s="26">
        <f>H70</f>
        <v>-500</v>
      </c>
      <c r="I69" s="26">
        <f>G69+H69</f>
        <v>10500</v>
      </c>
    </row>
    <row r="70" spans="1:9" ht="30" customHeight="1" x14ac:dyDescent="0.25">
      <c r="A70" s="496">
        <v>4</v>
      </c>
      <c r="B70" s="497"/>
      <c r="C70" s="498"/>
      <c r="D70" s="5" t="s">
        <v>5</v>
      </c>
      <c r="E70" s="19">
        <f>E71</f>
        <v>14500</v>
      </c>
      <c r="F70" s="19">
        <f t="shared" ref="F70:G70" si="29">F71</f>
        <v>-5000</v>
      </c>
      <c r="G70" s="405">
        <f t="shared" si="29"/>
        <v>11000</v>
      </c>
      <c r="H70" s="19">
        <f>H71</f>
        <v>-500</v>
      </c>
      <c r="I70" s="19">
        <f>G70+H70</f>
        <v>10500</v>
      </c>
    </row>
    <row r="71" spans="1:9" ht="30.75" customHeight="1" x14ac:dyDescent="0.25">
      <c r="A71" s="502">
        <v>42</v>
      </c>
      <c r="B71" s="503"/>
      <c r="C71" s="504"/>
      <c r="D71" s="5" t="s">
        <v>114</v>
      </c>
      <c r="E71" s="19">
        <v>14500</v>
      </c>
      <c r="F71" s="19">
        <v>-5000</v>
      </c>
      <c r="G71" s="405">
        <v>11000</v>
      </c>
      <c r="H71" s="19">
        <v>-500</v>
      </c>
      <c r="I71" s="19">
        <f>G71+H71</f>
        <v>10500</v>
      </c>
    </row>
    <row r="72" spans="1:9" x14ac:dyDescent="0.25">
      <c r="A72" s="508" t="s">
        <v>424</v>
      </c>
      <c r="B72" s="509"/>
      <c r="C72" s="509"/>
      <c r="D72" s="510"/>
      <c r="E72" s="210">
        <f>E73</f>
        <v>20000</v>
      </c>
      <c r="F72" s="210">
        <f t="shared" ref="F72:I72" si="30">F73</f>
        <v>4000</v>
      </c>
      <c r="G72" s="411">
        <f t="shared" si="30"/>
        <v>24000</v>
      </c>
      <c r="H72" s="411">
        <f t="shared" si="30"/>
        <v>2000</v>
      </c>
      <c r="I72" s="210">
        <f t="shared" si="30"/>
        <v>26000</v>
      </c>
    </row>
    <row r="73" spans="1:9" x14ac:dyDescent="0.25">
      <c r="A73" s="620" t="s">
        <v>631</v>
      </c>
      <c r="B73" s="621"/>
      <c r="C73" s="621"/>
      <c r="D73" s="622"/>
      <c r="E73" s="29">
        <f>E76</f>
        <v>20000</v>
      </c>
      <c r="F73" s="29">
        <f t="shared" ref="F73:I73" si="31">F76</f>
        <v>4000</v>
      </c>
      <c r="G73" s="412">
        <f t="shared" si="31"/>
        <v>24000</v>
      </c>
      <c r="H73" s="412">
        <f t="shared" si="31"/>
        <v>2000</v>
      </c>
      <c r="I73" s="32">
        <f t="shared" si="31"/>
        <v>26000</v>
      </c>
    </row>
    <row r="74" spans="1:9" ht="15" customHeight="1" x14ac:dyDescent="0.25">
      <c r="A74" s="176" t="s">
        <v>446</v>
      </c>
      <c r="B74" s="181"/>
      <c r="C74" s="181"/>
      <c r="D74" s="181"/>
      <c r="E74" s="180"/>
      <c r="F74" s="180"/>
      <c r="G74" s="408"/>
      <c r="H74" s="180"/>
      <c r="I74" s="180"/>
    </row>
    <row r="75" spans="1:9" x14ac:dyDescent="0.25">
      <c r="A75" s="494" t="s">
        <v>70</v>
      </c>
      <c r="B75" s="495"/>
      <c r="C75" s="495"/>
      <c r="D75" s="495"/>
      <c r="E75" s="26">
        <f>E73</f>
        <v>20000</v>
      </c>
      <c r="F75" s="26">
        <f t="shared" ref="F75:G75" si="32">F73</f>
        <v>4000</v>
      </c>
      <c r="G75" s="409">
        <f t="shared" si="32"/>
        <v>24000</v>
      </c>
      <c r="H75" s="26">
        <v>2000</v>
      </c>
      <c r="I75" s="26">
        <f>G75+H75</f>
        <v>26000</v>
      </c>
    </row>
    <row r="76" spans="1:9" x14ac:dyDescent="0.25">
      <c r="A76" s="496">
        <v>3</v>
      </c>
      <c r="B76" s="497"/>
      <c r="C76" s="498"/>
      <c r="D76" s="5" t="s">
        <v>19</v>
      </c>
      <c r="E76" s="19">
        <f>E77</f>
        <v>20000</v>
      </c>
      <c r="F76" s="19">
        <f t="shared" ref="F76:G76" si="33">F77</f>
        <v>4000</v>
      </c>
      <c r="G76" s="405">
        <f t="shared" si="33"/>
        <v>24000</v>
      </c>
      <c r="H76" s="19">
        <f>H77</f>
        <v>2000</v>
      </c>
      <c r="I76" s="19">
        <f>G76+H76</f>
        <v>26000</v>
      </c>
    </row>
    <row r="77" spans="1:9" ht="30" customHeight="1" x14ac:dyDescent="0.25">
      <c r="A77" s="499">
        <v>36</v>
      </c>
      <c r="B77" s="500"/>
      <c r="C77" s="501"/>
      <c r="D77" s="11" t="s">
        <v>50</v>
      </c>
      <c r="E77" s="19">
        <v>20000</v>
      </c>
      <c r="F77" s="19">
        <v>4000</v>
      </c>
      <c r="G77" s="405">
        <f>E77+F77</f>
        <v>24000</v>
      </c>
      <c r="H77" s="19">
        <v>2000</v>
      </c>
      <c r="I77" s="19">
        <f>G77+H77</f>
        <v>26000</v>
      </c>
    </row>
    <row r="78" spans="1:9" x14ac:dyDescent="0.25">
      <c r="A78" s="508" t="s">
        <v>425</v>
      </c>
      <c r="B78" s="509"/>
      <c r="C78" s="509"/>
      <c r="D78" s="510"/>
      <c r="E78" s="42">
        <f t="shared" ref="E78:I78" si="34">E79</f>
        <v>11990</v>
      </c>
      <c r="F78" s="42">
        <f t="shared" si="34"/>
        <v>-5988</v>
      </c>
      <c r="G78" s="45">
        <f t="shared" si="34"/>
        <v>6002</v>
      </c>
      <c r="H78" s="45">
        <f t="shared" si="34"/>
        <v>0</v>
      </c>
      <c r="I78" s="42">
        <f t="shared" si="34"/>
        <v>6002</v>
      </c>
    </row>
    <row r="79" spans="1:9" s="147" customFormat="1" ht="29.25" customHeight="1" x14ac:dyDescent="0.25">
      <c r="A79" s="518" t="s">
        <v>632</v>
      </c>
      <c r="B79" s="519"/>
      <c r="C79" s="519"/>
      <c r="D79" s="520"/>
      <c r="E79" s="27">
        <f>E82</f>
        <v>11990</v>
      </c>
      <c r="F79" s="27">
        <f t="shared" ref="F79:I79" si="35">F82</f>
        <v>-5988</v>
      </c>
      <c r="G79" s="442">
        <f t="shared" si="35"/>
        <v>6002</v>
      </c>
      <c r="H79" s="442">
        <f t="shared" si="35"/>
        <v>0</v>
      </c>
      <c r="I79" s="443">
        <f t="shared" si="35"/>
        <v>6002</v>
      </c>
    </row>
    <row r="80" spans="1:9" ht="15" customHeight="1" x14ac:dyDescent="0.25">
      <c r="A80" s="176" t="s">
        <v>676</v>
      </c>
      <c r="B80" s="181"/>
      <c r="C80" s="181"/>
      <c r="D80" s="181"/>
      <c r="E80" s="180"/>
      <c r="F80" s="180"/>
      <c r="G80" s="408"/>
      <c r="H80" s="180"/>
      <c r="I80" s="180"/>
    </row>
    <row r="81" spans="1:9" x14ac:dyDescent="0.25">
      <c r="A81" s="511" t="s">
        <v>695</v>
      </c>
      <c r="B81" s="512"/>
      <c r="C81" s="512"/>
      <c r="D81" s="512"/>
      <c r="E81" s="26">
        <f>E79</f>
        <v>11990</v>
      </c>
      <c r="F81" s="26">
        <f t="shared" ref="F81:G81" si="36">F79</f>
        <v>-5988</v>
      </c>
      <c r="G81" s="409">
        <f t="shared" si="36"/>
        <v>6002</v>
      </c>
      <c r="H81" s="26"/>
      <c r="I81" s="26">
        <f>G81+H81</f>
        <v>6002</v>
      </c>
    </row>
    <row r="82" spans="1:9" x14ac:dyDescent="0.25">
      <c r="A82" s="496">
        <v>3</v>
      </c>
      <c r="B82" s="497"/>
      <c r="C82" s="498"/>
      <c r="D82" s="5" t="s">
        <v>19</v>
      </c>
      <c r="E82" s="19">
        <f>E83+E84</f>
        <v>11990</v>
      </c>
      <c r="F82" s="19">
        <f t="shared" ref="F82:G82" si="37">F83+F84</f>
        <v>-5988</v>
      </c>
      <c r="G82" s="405">
        <f t="shared" si="37"/>
        <v>6002</v>
      </c>
      <c r="H82" s="19"/>
      <c r="I82" s="19">
        <f>G82+H82</f>
        <v>6002</v>
      </c>
    </row>
    <row r="83" spans="1:9" x14ac:dyDescent="0.25">
      <c r="A83" s="502">
        <v>31</v>
      </c>
      <c r="B83" s="503"/>
      <c r="C83" s="504"/>
      <c r="D83" s="5" t="s">
        <v>22</v>
      </c>
      <c r="E83" s="19">
        <v>11750</v>
      </c>
      <c r="F83" s="19">
        <v>-5868</v>
      </c>
      <c r="G83" s="405">
        <f>E83+F83</f>
        <v>5882</v>
      </c>
      <c r="H83" s="19"/>
      <c r="I83" s="19">
        <f t="shared" ref="I83:I84" si="38">G83+H83</f>
        <v>5882</v>
      </c>
    </row>
    <row r="84" spans="1:9" x14ac:dyDescent="0.25">
      <c r="A84" s="499">
        <v>32</v>
      </c>
      <c r="B84" s="500"/>
      <c r="C84" s="501"/>
      <c r="D84" s="11" t="s">
        <v>35</v>
      </c>
      <c r="E84" s="19">
        <v>240</v>
      </c>
      <c r="F84" s="19">
        <v>-120</v>
      </c>
      <c r="G84" s="405">
        <f>E84+F84</f>
        <v>120</v>
      </c>
      <c r="H84" s="19"/>
      <c r="I84" s="19">
        <f t="shared" si="38"/>
        <v>120</v>
      </c>
    </row>
    <row r="85" spans="1:9" x14ac:dyDescent="0.25">
      <c r="A85" s="53" t="s">
        <v>79</v>
      </c>
      <c r="B85" s="53"/>
      <c r="C85" s="53"/>
      <c r="D85" s="53"/>
      <c r="E85" s="54">
        <f>E86+E94</f>
        <v>28192</v>
      </c>
      <c r="F85" s="54">
        <f t="shared" ref="F85:I85" si="39">F86+F94</f>
        <v>0</v>
      </c>
      <c r="G85" s="394">
        <f t="shared" si="39"/>
        <v>28192</v>
      </c>
      <c r="H85" s="394">
        <f t="shared" si="39"/>
        <v>-3000</v>
      </c>
      <c r="I85" s="54">
        <f t="shared" si="39"/>
        <v>25192</v>
      </c>
    </row>
    <row r="86" spans="1:9" x14ac:dyDescent="0.25">
      <c r="A86" s="39" t="s">
        <v>426</v>
      </c>
      <c r="B86" s="39"/>
      <c r="C86" s="39"/>
      <c r="D86" s="39"/>
      <c r="E86" s="42">
        <f t="shared" ref="E86:I86" si="40">E87</f>
        <v>23192</v>
      </c>
      <c r="F86" s="42">
        <f t="shared" si="40"/>
        <v>0</v>
      </c>
      <c r="G86" s="45">
        <f t="shared" si="40"/>
        <v>23192</v>
      </c>
      <c r="H86" s="45">
        <f t="shared" si="40"/>
        <v>0</v>
      </c>
      <c r="I86" s="42">
        <f t="shared" si="40"/>
        <v>23192</v>
      </c>
    </row>
    <row r="87" spans="1:9" ht="30" customHeight="1" x14ac:dyDescent="0.25">
      <c r="A87" s="638" t="s">
        <v>840</v>
      </c>
      <c r="B87" s="639"/>
      <c r="C87" s="639"/>
      <c r="D87" s="640"/>
      <c r="E87" s="641">
        <f>E91</f>
        <v>23192</v>
      </c>
      <c r="F87" s="641">
        <f t="shared" ref="F87:G87" si="41">F91</f>
        <v>0</v>
      </c>
      <c r="G87" s="554">
        <f t="shared" si="41"/>
        <v>23192</v>
      </c>
      <c r="H87" s="554">
        <f t="shared" ref="H87:I87" si="42">H91</f>
        <v>0</v>
      </c>
      <c r="I87" s="550">
        <f t="shared" si="42"/>
        <v>23192</v>
      </c>
    </row>
    <row r="88" spans="1:9" ht="0.75" customHeight="1" x14ac:dyDescent="0.25">
      <c r="A88" s="516"/>
      <c r="B88" s="517"/>
      <c r="C88" s="517"/>
      <c r="D88" s="521"/>
      <c r="E88" s="650"/>
      <c r="F88" s="642"/>
      <c r="G88" s="555"/>
      <c r="H88" s="555"/>
      <c r="I88" s="556"/>
    </row>
    <row r="89" spans="1:9" ht="15" customHeight="1" x14ac:dyDescent="0.25">
      <c r="A89" s="176" t="s">
        <v>449</v>
      </c>
      <c r="B89" s="181"/>
      <c r="C89" s="181"/>
      <c r="D89" s="181"/>
      <c r="E89" s="180"/>
      <c r="F89" s="180"/>
      <c r="G89" s="408"/>
      <c r="H89" s="180"/>
      <c r="I89" s="180"/>
    </row>
    <row r="90" spans="1:9" x14ac:dyDescent="0.25">
      <c r="A90" s="511" t="s">
        <v>69</v>
      </c>
      <c r="B90" s="512"/>
      <c r="C90" s="512"/>
      <c r="D90" s="512"/>
      <c r="E90" s="26">
        <f>E87</f>
        <v>23192</v>
      </c>
      <c r="F90" s="26">
        <f t="shared" ref="F90:G90" si="43">F87</f>
        <v>0</v>
      </c>
      <c r="G90" s="409">
        <f t="shared" si="43"/>
        <v>23192</v>
      </c>
      <c r="H90" s="26"/>
      <c r="I90" s="26">
        <f>G90+H90</f>
        <v>23192</v>
      </c>
    </row>
    <row r="91" spans="1:9" x14ac:dyDescent="0.25">
      <c r="A91" s="496">
        <v>3</v>
      </c>
      <c r="B91" s="497"/>
      <c r="C91" s="498"/>
      <c r="D91" s="5" t="s">
        <v>19</v>
      </c>
      <c r="E91" s="19">
        <f>E92+E93</f>
        <v>23192</v>
      </c>
      <c r="F91" s="19">
        <f t="shared" ref="F91:G91" si="44">F92+F93</f>
        <v>0</v>
      </c>
      <c r="G91" s="405">
        <f t="shared" si="44"/>
        <v>23192</v>
      </c>
      <c r="H91" s="19"/>
      <c r="I91" s="19">
        <f>G91+H91</f>
        <v>23192</v>
      </c>
    </row>
    <row r="92" spans="1:9" x14ac:dyDescent="0.25">
      <c r="A92" s="502">
        <v>35</v>
      </c>
      <c r="B92" s="503"/>
      <c r="C92" s="504"/>
      <c r="D92" s="5" t="s">
        <v>49</v>
      </c>
      <c r="E92" s="19">
        <v>20000</v>
      </c>
      <c r="F92" s="19"/>
      <c r="G92" s="405">
        <f>E92+F92</f>
        <v>20000</v>
      </c>
      <c r="H92" s="19"/>
      <c r="I92" s="19">
        <f t="shared" ref="I92:I93" si="45">G92+H92</f>
        <v>20000</v>
      </c>
    </row>
    <row r="93" spans="1:9" ht="30" customHeight="1" x14ac:dyDescent="0.25">
      <c r="A93" s="499">
        <v>36</v>
      </c>
      <c r="B93" s="500"/>
      <c r="C93" s="501"/>
      <c r="D93" s="11" t="s">
        <v>50</v>
      </c>
      <c r="E93" s="19">
        <v>3192</v>
      </c>
      <c r="F93" s="19"/>
      <c r="G93" s="405">
        <f>E93+F93</f>
        <v>3192</v>
      </c>
      <c r="H93" s="19"/>
      <c r="I93" s="19">
        <f t="shared" si="45"/>
        <v>3192</v>
      </c>
    </row>
    <row r="94" spans="1:9" x14ac:dyDescent="0.25">
      <c r="A94" s="643" t="s">
        <v>427</v>
      </c>
      <c r="B94" s="644"/>
      <c r="C94" s="644"/>
      <c r="D94" s="644"/>
      <c r="E94" s="38">
        <f t="shared" ref="E94:I94" si="46">E95</f>
        <v>5000</v>
      </c>
      <c r="F94" s="38">
        <f t="shared" si="46"/>
        <v>0</v>
      </c>
      <c r="G94" s="395">
        <f t="shared" si="46"/>
        <v>5000</v>
      </c>
      <c r="H94" s="395">
        <f t="shared" si="46"/>
        <v>-3000</v>
      </c>
      <c r="I94" s="38">
        <f t="shared" si="46"/>
        <v>2000</v>
      </c>
    </row>
    <row r="95" spans="1:9" x14ac:dyDescent="0.25">
      <c r="A95" s="491" t="s">
        <v>633</v>
      </c>
      <c r="B95" s="492"/>
      <c r="C95" s="492"/>
      <c r="D95" s="492"/>
      <c r="E95" s="29">
        <f>E98</f>
        <v>5000</v>
      </c>
      <c r="F95" s="29">
        <f t="shared" ref="F95:I95" si="47">F98</f>
        <v>0</v>
      </c>
      <c r="G95" s="412">
        <f t="shared" si="47"/>
        <v>5000</v>
      </c>
      <c r="H95" s="412">
        <f t="shared" si="47"/>
        <v>-3000</v>
      </c>
      <c r="I95" s="32">
        <f t="shared" si="47"/>
        <v>2000</v>
      </c>
    </row>
    <row r="96" spans="1:9" ht="15" customHeight="1" x14ac:dyDescent="0.25">
      <c r="A96" s="176" t="s">
        <v>450</v>
      </c>
      <c r="B96" s="181"/>
      <c r="C96" s="181"/>
      <c r="D96" s="181"/>
      <c r="E96" s="180"/>
      <c r="F96" s="180"/>
      <c r="G96" s="408"/>
      <c r="H96" s="180"/>
      <c r="I96" s="180"/>
    </row>
    <row r="97" spans="1:9" x14ac:dyDescent="0.25">
      <c r="A97" s="511" t="s">
        <v>69</v>
      </c>
      <c r="B97" s="512"/>
      <c r="C97" s="512"/>
      <c r="D97" s="512"/>
      <c r="E97" s="26">
        <f>E95</f>
        <v>5000</v>
      </c>
      <c r="F97" s="26">
        <f t="shared" ref="F97:G97" si="48">F95</f>
        <v>0</v>
      </c>
      <c r="G97" s="409">
        <f t="shared" si="48"/>
        <v>5000</v>
      </c>
      <c r="H97" s="26">
        <v>-3000</v>
      </c>
      <c r="I97" s="26">
        <f>G97+H97</f>
        <v>2000</v>
      </c>
    </row>
    <row r="98" spans="1:9" x14ac:dyDescent="0.25">
      <c r="A98" s="496">
        <v>3</v>
      </c>
      <c r="B98" s="497"/>
      <c r="C98" s="498"/>
      <c r="D98" s="5" t="s">
        <v>19</v>
      </c>
      <c r="E98" s="19">
        <f>E99</f>
        <v>5000</v>
      </c>
      <c r="F98" s="19">
        <f t="shared" ref="F98:G98" si="49">F99</f>
        <v>0</v>
      </c>
      <c r="G98" s="405">
        <f t="shared" si="49"/>
        <v>5000</v>
      </c>
      <c r="H98" s="19">
        <f>H99</f>
        <v>-3000</v>
      </c>
      <c r="I98" s="19">
        <f>G98+H98</f>
        <v>2000</v>
      </c>
    </row>
    <row r="99" spans="1:9" x14ac:dyDescent="0.25">
      <c r="A99" s="502">
        <v>35</v>
      </c>
      <c r="B99" s="503"/>
      <c r="C99" s="504"/>
      <c r="D99" s="5" t="s">
        <v>49</v>
      </c>
      <c r="E99" s="19">
        <v>5000</v>
      </c>
      <c r="F99" s="19"/>
      <c r="G99" s="405">
        <f>E99+F99</f>
        <v>5000</v>
      </c>
      <c r="H99" s="19">
        <v>-3000</v>
      </c>
      <c r="I99" s="19">
        <f>G99+H99</f>
        <v>2000</v>
      </c>
    </row>
    <row r="100" spans="1:9" x14ac:dyDescent="0.25">
      <c r="A100" s="157"/>
      <c r="B100" s="158"/>
      <c r="C100" s="459"/>
      <c r="D100" s="460"/>
      <c r="E100" s="461"/>
      <c r="F100" s="461"/>
      <c r="G100" s="462"/>
      <c r="H100" s="462"/>
      <c r="I100" s="462"/>
    </row>
    <row r="101" spans="1:9" x14ac:dyDescent="0.25">
      <c r="A101" s="56" t="s">
        <v>83</v>
      </c>
      <c r="B101" s="56"/>
      <c r="C101" s="56"/>
      <c r="D101" s="56"/>
      <c r="E101" s="601">
        <f>E103+E149+E200+E209+E229+E237+E276</f>
        <v>1023640</v>
      </c>
      <c r="F101" s="601">
        <f>F103+F149+F200+F209+F229+F237+F276</f>
        <v>73500</v>
      </c>
      <c r="G101" s="552">
        <f>G103+G149+G200+G209+G229+G237+G276</f>
        <v>1119240</v>
      </c>
      <c r="H101" s="552">
        <f>H103+H149+H200+H209+H229+H237+H276</f>
        <v>-401000</v>
      </c>
      <c r="I101" s="552">
        <f>I103+I149+I200+I209+I229+I237+I276</f>
        <v>718240</v>
      </c>
    </row>
    <row r="102" spans="1:9" x14ac:dyDescent="0.25">
      <c r="A102" s="645" t="s">
        <v>84</v>
      </c>
      <c r="B102" s="646"/>
      <c r="C102" s="646"/>
      <c r="D102" s="647"/>
      <c r="E102" s="648"/>
      <c r="F102" s="602"/>
      <c r="G102" s="553"/>
      <c r="H102" s="553"/>
      <c r="I102" s="553"/>
    </row>
    <row r="103" spans="1:9" x14ac:dyDescent="0.25">
      <c r="A103" s="508" t="s">
        <v>634</v>
      </c>
      <c r="B103" s="509"/>
      <c r="C103" s="509"/>
      <c r="D103" s="510"/>
      <c r="E103" s="41">
        <f>E104+E115+E120+E125+E130+E136+E142</f>
        <v>233300</v>
      </c>
      <c r="F103" s="41">
        <f>F104+F115+F120+F125+F130+F136+F142</f>
        <v>19600</v>
      </c>
      <c r="G103" s="407">
        <f>G104+G115+G120+G125+G130+G136+G142</f>
        <v>161900</v>
      </c>
      <c r="H103" s="407">
        <f t="shared" ref="H103:I103" si="50">H104+H115+H120+H125+H130+H136+H142</f>
        <v>10800</v>
      </c>
      <c r="I103" s="407">
        <f t="shared" si="50"/>
        <v>172700</v>
      </c>
    </row>
    <row r="104" spans="1:9" x14ac:dyDescent="0.25">
      <c r="A104" s="505" t="s">
        <v>839</v>
      </c>
      <c r="B104" s="506"/>
      <c r="C104" s="506"/>
      <c r="D104" s="506"/>
      <c r="E104" s="632">
        <f t="shared" ref="E104:G104" si="51">E113</f>
        <v>163000</v>
      </c>
      <c r="F104" s="634">
        <f t="shared" si="51"/>
        <v>17000</v>
      </c>
      <c r="G104" s="636">
        <f t="shared" si="51"/>
        <v>82000</v>
      </c>
      <c r="H104" s="550">
        <f>H113</f>
        <v>0</v>
      </c>
      <c r="I104" s="550">
        <f>G104+H104</f>
        <v>82000</v>
      </c>
    </row>
    <row r="105" spans="1:9" ht="0.75" customHeight="1" x14ac:dyDescent="0.25">
      <c r="A105" s="516"/>
      <c r="B105" s="517"/>
      <c r="C105" s="517"/>
      <c r="D105" s="517"/>
      <c r="E105" s="633"/>
      <c r="F105" s="635"/>
      <c r="G105" s="637"/>
      <c r="H105" s="551"/>
      <c r="I105" s="551"/>
    </row>
    <row r="106" spans="1:9" ht="15" customHeight="1" x14ac:dyDescent="0.25">
      <c r="A106" s="176" t="s">
        <v>447</v>
      </c>
      <c r="B106" s="181"/>
      <c r="C106" s="181"/>
      <c r="D106" s="181"/>
      <c r="E106" s="180"/>
      <c r="F106" s="180"/>
      <c r="G106" s="408"/>
      <c r="H106" s="180"/>
      <c r="I106" s="180"/>
    </row>
    <row r="107" spans="1:9" x14ac:dyDescent="0.25">
      <c r="A107" s="494" t="s">
        <v>698</v>
      </c>
      <c r="B107" s="495"/>
      <c r="C107" s="495"/>
      <c r="D107" s="495"/>
      <c r="E107" s="26">
        <f>26000+36000</f>
        <v>62000</v>
      </c>
      <c r="F107" s="26"/>
      <c r="G107" s="409">
        <v>26000</v>
      </c>
      <c r="H107" s="26">
        <v>-4000</v>
      </c>
      <c r="I107" s="26">
        <f>G107+H107</f>
        <v>22000</v>
      </c>
    </row>
    <row r="108" spans="1:9" x14ac:dyDescent="0.25">
      <c r="A108" s="494" t="s">
        <v>697</v>
      </c>
      <c r="B108" s="495"/>
      <c r="C108" s="495"/>
      <c r="D108" s="495"/>
      <c r="E108" s="26">
        <f>15468</f>
        <v>15468</v>
      </c>
      <c r="F108" s="26"/>
      <c r="G108" s="409">
        <f>E108+F108</f>
        <v>15468</v>
      </c>
      <c r="H108" s="26">
        <v>4000</v>
      </c>
      <c r="I108" s="26">
        <f t="shared" ref="I108:I112" si="52">G108+H108</f>
        <v>19468</v>
      </c>
    </row>
    <row r="109" spans="1:9" x14ac:dyDescent="0.25">
      <c r="A109" s="494" t="s">
        <v>699</v>
      </c>
      <c r="B109" s="495"/>
      <c r="C109" s="495"/>
      <c r="D109" s="495"/>
      <c r="E109" s="26">
        <v>2800</v>
      </c>
      <c r="F109" s="26"/>
      <c r="G109" s="409">
        <f>E109+F109</f>
        <v>2800</v>
      </c>
      <c r="H109" s="26"/>
      <c r="I109" s="26">
        <f t="shared" si="52"/>
        <v>2800</v>
      </c>
    </row>
    <row r="110" spans="1:9" x14ac:dyDescent="0.25">
      <c r="A110" s="494" t="s">
        <v>700</v>
      </c>
      <c r="B110" s="495"/>
      <c r="C110" s="495"/>
      <c r="D110" s="495"/>
      <c r="E110" s="26">
        <v>100</v>
      </c>
      <c r="F110" s="26"/>
      <c r="G110" s="409">
        <f>E110+F110</f>
        <v>100</v>
      </c>
      <c r="H110" s="26"/>
      <c r="I110" s="26">
        <f t="shared" si="52"/>
        <v>100</v>
      </c>
    </row>
    <row r="111" spans="1:9" x14ac:dyDescent="0.25">
      <c r="A111" s="511" t="s">
        <v>69</v>
      </c>
      <c r="B111" s="512"/>
      <c r="C111" s="512"/>
      <c r="D111" s="512"/>
      <c r="E111" s="26">
        <f>E104-E107-E108-E109-E110-E112</f>
        <v>52632</v>
      </c>
      <c r="F111" s="26">
        <v>17000</v>
      </c>
      <c r="G111" s="409">
        <v>23268.55</v>
      </c>
      <c r="H111" s="26"/>
      <c r="I111" s="26">
        <f t="shared" si="52"/>
        <v>23268.55</v>
      </c>
    </row>
    <row r="112" spans="1:9" x14ac:dyDescent="0.25">
      <c r="A112" s="511" t="s">
        <v>696</v>
      </c>
      <c r="B112" s="512"/>
      <c r="C112" s="512"/>
      <c r="D112" s="512"/>
      <c r="E112" s="26">
        <f>10000+20000</f>
        <v>30000</v>
      </c>
      <c r="F112" s="26"/>
      <c r="G112" s="409">
        <v>14363.45</v>
      </c>
      <c r="H112" s="26"/>
      <c r="I112" s="26">
        <f t="shared" si="52"/>
        <v>14363.45</v>
      </c>
    </row>
    <row r="113" spans="1:9" x14ac:dyDescent="0.25">
      <c r="A113" s="496">
        <v>3</v>
      </c>
      <c r="B113" s="497"/>
      <c r="C113" s="498"/>
      <c r="D113" s="5" t="s">
        <v>19</v>
      </c>
      <c r="E113" s="12">
        <f>E114</f>
        <v>163000</v>
      </c>
      <c r="F113" s="12">
        <f t="shared" ref="F113:G113" si="53">F114</f>
        <v>17000</v>
      </c>
      <c r="G113" s="374">
        <f t="shared" si="53"/>
        <v>82000</v>
      </c>
      <c r="H113" s="12">
        <f>H114</f>
        <v>0</v>
      </c>
      <c r="I113" s="12">
        <f>G113+H113</f>
        <v>82000</v>
      </c>
    </row>
    <row r="114" spans="1:9" x14ac:dyDescent="0.25">
      <c r="A114" s="502">
        <v>32</v>
      </c>
      <c r="B114" s="503"/>
      <c r="C114" s="504"/>
      <c r="D114" s="5" t="s">
        <v>35</v>
      </c>
      <c r="E114" s="19">
        <v>163000</v>
      </c>
      <c r="F114" s="19">
        <v>17000</v>
      </c>
      <c r="G114" s="405">
        <v>82000</v>
      </c>
      <c r="H114" s="19"/>
      <c r="I114" s="12">
        <f>G114+H114</f>
        <v>82000</v>
      </c>
    </row>
    <row r="115" spans="1:9" x14ac:dyDescent="0.25">
      <c r="A115" s="620" t="s">
        <v>635</v>
      </c>
      <c r="B115" s="621"/>
      <c r="C115" s="621"/>
      <c r="D115" s="622"/>
      <c r="E115" s="156">
        <f>E118</f>
        <v>3000</v>
      </c>
      <c r="F115" s="156">
        <f t="shared" ref="F115:I115" si="54">F118</f>
        <v>0</v>
      </c>
      <c r="G115" s="414">
        <f t="shared" si="54"/>
        <v>3000</v>
      </c>
      <c r="H115" s="414">
        <f t="shared" si="54"/>
        <v>0</v>
      </c>
      <c r="I115" s="209">
        <f t="shared" si="54"/>
        <v>3000</v>
      </c>
    </row>
    <row r="116" spans="1:9" ht="15" customHeight="1" x14ac:dyDescent="0.25">
      <c r="A116" s="176" t="s">
        <v>456</v>
      </c>
      <c r="B116" s="181"/>
      <c r="C116" s="181"/>
      <c r="D116" s="181"/>
      <c r="E116" s="180"/>
      <c r="F116" s="180"/>
      <c r="G116" s="408"/>
      <c r="H116" s="180"/>
      <c r="I116" s="180"/>
    </row>
    <row r="117" spans="1:9" x14ac:dyDescent="0.25">
      <c r="A117" s="511" t="s">
        <v>69</v>
      </c>
      <c r="B117" s="512"/>
      <c r="C117" s="512"/>
      <c r="D117" s="512"/>
      <c r="E117" s="26">
        <f>E115</f>
        <v>3000</v>
      </c>
      <c r="F117" s="26">
        <f>F115</f>
        <v>0</v>
      </c>
      <c r="G117" s="409">
        <f>G115</f>
        <v>3000</v>
      </c>
      <c r="H117" s="26"/>
      <c r="I117" s="26">
        <f>G117+H117</f>
        <v>3000</v>
      </c>
    </row>
    <row r="118" spans="1:9" x14ac:dyDescent="0.25">
      <c r="A118" s="496">
        <v>3</v>
      </c>
      <c r="B118" s="497"/>
      <c r="C118" s="498"/>
      <c r="D118" s="5" t="s">
        <v>19</v>
      </c>
      <c r="E118" s="19">
        <f>E119</f>
        <v>3000</v>
      </c>
      <c r="F118" s="19">
        <f t="shared" ref="F118:G118" si="55">F119</f>
        <v>0</v>
      </c>
      <c r="G118" s="405">
        <f t="shared" si="55"/>
        <v>3000</v>
      </c>
      <c r="H118" s="19"/>
      <c r="I118" s="19">
        <f>G118+H118</f>
        <v>3000</v>
      </c>
    </row>
    <row r="119" spans="1:9" x14ac:dyDescent="0.25">
      <c r="A119" s="502">
        <v>32</v>
      </c>
      <c r="B119" s="503"/>
      <c r="C119" s="504"/>
      <c r="D119" s="5" t="s">
        <v>35</v>
      </c>
      <c r="E119" s="19">
        <v>3000</v>
      </c>
      <c r="F119" s="19"/>
      <c r="G119" s="405">
        <f>E119+F119</f>
        <v>3000</v>
      </c>
      <c r="H119" s="19"/>
      <c r="I119" s="19">
        <f>G119+H119</f>
        <v>3000</v>
      </c>
    </row>
    <row r="120" spans="1:9" x14ac:dyDescent="0.25">
      <c r="A120" s="620" t="s">
        <v>636</v>
      </c>
      <c r="B120" s="621"/>
      <c r="C120" s="621"/>
      <c r="D120" s="622"/>
      <c r="E120" s="156">
        <f>E123</f>
        <v>31500</v>
      </c>
      <c r="F120" s="156">
        <f t="shared" ref="F120:I120" si="56">F123</f>
        <v>3600</v>
      </c>
      <c r="G120" s="414">
        <f t="shared" si="56"/>
        <v>39100</v>
      </c>
      <c r="H120" s="414">
        <f t="shared" si="56"/>
        <v>100</v>
      </c>
      <c r="I120" s="209">
        <f t="shared" si="56"/>
        <v>39200</v>
      </c>
    </row>
    <row r="121" spans="1:9" ht="15" customHeight="1" x14ac:dyDescent="0.25">
      <c r="A121" s="176" t="s">
        <v>452</v>
      </c>
      <c r="B121" s="181"/>
      <c r="C121" s="181"/>
      <c r="D121" s="181"/>
      <c r="E121" s="180"/>
      <c r="F121" s="180"/>
      <c r="G121" s="408"/>
      <c r="H121" s="180"/>
      <c r="I121" s="180"/>
    </row>
    <row r="122" spans="1:9" x14ac:dyDescent="0.25">
      <c r="A122" s="511" t="s">
        <v>69</v>
      </c>
      <c r="B122" s="512"/>
      <c r="C122" s="512"/>
      <c r="D122" s="512"/>
      <c r="E122" s="26">
        <f>E120</f>
        <v>31500</v>
      </c>
      <c r="F122" s="26">
        <f t="shared" ref="F122:G122" si="57">F120</f>
        <v>3600</v>
      </c>
      <c r="G122" s="409">
        <f t="shared" si="57"/>
        <v>39100</v>
      </c>
      <c r="H122" s="26">
        <f>H123</f>
        <v>100</v>
      </c>
      <c r="I122" s="26">
        <f>G122+H122</f>
        <v>39200</v>
      </c>
    </row>
    <row r="123" spans="1:9" x14ac:dyDescent="0.25">
      <c r="A123" s="496">
        <v>3</v>
      </c>
      <c r="B123" s="497"/>
      <c r="C123" s="498"/>
      <c r="D123" s="5" t="s">
        <v>19</v>
      </c>
      <c r="E123" s="19">
        <f>E124</f>
        <v>31500</v>
      </c>
      <c r="F123" s="19">
        <f t="shared" ref="F123:G123" si="58">F124</f>
        <v>3600</v>
      </c>
      <c r="G123" s="405">
        <f t="shared" si="58"/>
        <v>39100</v>
      </c>
      <c r="H123" s="19">
        <f>H124</f>
        <v>100</v>
      </c>
      <c r="I123" s="19">
        <f>G123+H123</f>
        <v>39200</v>
      </c>
    </row>
    <row r="124" spans="1:9" x14ac:dyDescent="0.25">
      <c r="A124" s="502">
        <v>32</v>
      </c>
      <c r="B124" s="503"/>
      <c r="C124" s="504"/>
      <c r="D124" s="5" t="s">
        <v>35</v>
      </c>
      <c r="E124" s="19">
        <v>31500</v>
      </c>
      <c r="F124" s="19">
        <f>3600</f>
        <v>3600</v>
      </c>
      <c r="G124" s="405">
        <v>39100</v>
      </c>
      <c r="H124" s="19">
        <f>-1000-900+2000</f>
        <v>100</v>
      </c>
      <c r="I124" s="19">
        <f>G124+H124</f>
        <v>39200</v>
      </c>
    </row>
    <row r="125" spans="1:9" ht="29.25" customHeight="1" x14ac:dyDescent="0.25">
      <c r="A125" s="518" t="s">
        <v>637</v>
      </c>
      <c r="B125" s="519"/>
      <c r="C125" s="519"/>
      <c r="D125" s="520"/>
      <c r="E125" s="156">
        <f>E128</f>
        <v>1000</v>
      </c>
      <c r="F125" s="156">
        <f t="shared" ref="F125:I125" si="59">F128</f>
        <v>1000</v>
      </c>
      <c r="G125" s="414">
        <f t="shared" si="59"/>
        <v>2000</v>
      </c>
      <c r="H125" s="414">
        <f t="shared" si="59"/>
        <v>0</v>
      </c>
      <c r="I125" s="209">
        <f t="shared" si="59"/>
        <v>2000</v>
      </c>
    </row>
    <row r="126" spans="1:9" ht="15" customHeight="1" x14ac:dyDescent="0.25">
      <c r="A126" s="176" t="s">
        <v>452</v>
      </c>
      <c r="B126" s="181"/>
      <c r="C126" s="181"/>
      <c r="D126" s="181"/>
      <c r="E126" s="180"/>
      <c r="F126" s="180"/>
      <c r="G126" s="408"/>
      <c r="H126" s="180"/>
      <c r="I126" s="180"/>
    </row>
    <row r="127" spans="1:9" x14ac:dyDescent="0.25">
      <c r="A127" s="511" t="s">
        <v>69</v>
      </c>
      <c r="B127" s="512"/>
      <c r="C127" s="512"/>
      <c r="D127" s="512"/>
      <c r="E127" s="26">
        <f>E125</f>
        <v>1000</v>
      </c>
      <c r="F127" s="26">
        <f t="shared" ref="F127:G127" si="60">F125</f>
        <v>1000</v>
      </c>
      <c r="G127" s="409">
        <f t="shared" si="60"/>
        <v>2000</v>
      </c>
      <c r="H127" s="26"/>
      <c r="I127" s="26">
        <f>G127+H127</f>
        <v>2000</v>
      </c>
    </row>
    <row r="128" spans="1:9" x14ac:dyDescent="0.25">
      <c r="A128" s="496">
        <v>3</v>
      </c>
      <c r="B128" s="497"/>
      <c r="C128" s="498"/>
      <c r="D128" s="5" t="s">
        <v>19</v>
      </c>
      <c r="E128" s="19">
        <f>E129</f>
        <v>1000</v>
      </c>
      <c r="F128" s="19">
        <f t="shared" ref="F128:G128" si="61">F129</f>
        <v>1000</v>
      </c>
      <c r="G128" s="405">
        <f t="shared" si="61"/>
        <v>2000</v>
      </c>
      <c r="H128" s="19"/>
      <c r="I128" s="19">
        <f>G128+H128</f>
        <v>2000</v>
      </c>
    </row>
    <row r="129" spans="1:9" x14ac:dyDescent="0.25">
      <c r="A129" s="502">
        <v>32</v>
      </c>
      <c r="B129" s="503"/>
      <c r="C129" s="504"/>
      <c r="D129" s="5" t="s">
        <v>35</v>
      </c>
      <c r="E129" s="19">
        <v>1000</v>
      </c>
      <c r="F129" s="19">
        <v>1000</v>
      </c>
      <c r="G129" s="405">
        <f>E129+F129</f>
        <v>2000</v>
      </c>
      <c r="H129" s="19">
        <f>-400+400</f>
        <v>0</v>
      </c>
      <c r="I129" s="19">
        <f>G129+H129</f>
        <v>2000</v>
      </c>
    </row>
    <row r="130" spans="1:9" x14ac:dyDescent="0.25">
      <c r="A130" s="491" t="s">
        <v>638</v>
      </c>
      <c r="B130" s="492"/>
      <c r="C130" s="492"/>
      <c r="D130" s="493"/>
      <c r="E130" s="32">
        <f>E134</f>
        <v>12000</v>
      </c>
      <c r="F130" s="32">
        <f>F134</f>
        <v>0</v>
      </c>
      <c r="G130" s="412">
        <f t="shared" ref="G130:I130" si="62">G134</f>
        <v>13000</v>
      </c>
      <c r="H130" s="412">
        <f t="shared" si="62"/>
        <v>700</v>
      </c>
      <c r="I130" s="32">
        <f t="shared" si="62"/>
        <v>13700</v>
      </c>
    </row>
    <row r="131" spans="1:9" ht="15" customHeight="1" x14ac:dyDescent="0.25">
      <c r="A131" s="176" t="s">
        <v>447</v>
      </c>
      <c r="B131" s="181"/>
      <c r="C131" s="181"/>
      <c r="D131" s="181"/>
      <c r="E131" s="180"/>
      <c r="F131" s="180"/>
      <c r="G131" s="408"/>
      <c r="H131" s="180"/>
      <c r="I131" s="180"/>
    </row>
    <row r="132" spans="1:9" x14ac:dyDescent="0.25">
      <c r="A132" s="16" t="s">
        <v>69</v>
      </c>
      <c r="B132" s="16"/>
      <c r="C132" s="16"/>
      <c r="D132" s="16"/>
      <c r="E132" s="26"/>
      <c r="F132" s="26">
        <v>12000</v>
      </c>
      <c r="G132" s="409">
        <v>13000</v>
      </c>
      <c r="H132" s="26">
        <f>H134</f>
        <v>700</v>
      </c>
      <c r="I132" s="26">
        <f>G132+H132</f>
        <v>13700</v>
      </c>
    </row>
    <row r="133" spans="1:9" ht="0.75" customHeight="1" x14ac:dyDescent="0.25">
      <c r="A133" s="511" t="s">
        <v>120</v>
      </c>
      <c r="B133" s="512"/>
      <c r="C133" s="512"/>
      <c r="D133" s="512"/>
      <c r="E133" s="26">
        <v>12000</v>
      </c>
      <c r="F133" s="26">
        <v>-12000</v>
      </c>
      <c r="G133" s="409">
        <f>E133+F133</f>
        <v>0</v>
      </c>
      <c r="H133" s="26"/>
      <c r="I133" s="26">
        <f>G133+H133</f>
        <v>0</v>
      </c>
    </row>
    <row r="134" spans="1:9" x14ac:dyDescent="0.25">
      <c r="A134" s="496">
        <v>3</v>
      </c>
      <c r="B134" s="497"/>
      <c r="C134" s="498"/>
      <c r="D134" s="5" t="s">
        <v>19</v>
      </c>
      <c r="E134" s="12">
        <f>E135</f>
        <v>12000</v>
      </c>
      <c r="F134" s="12">
        <f t="shared" ref="F134:G134" si="63">F135</f>
        <v>0</v>
      </c>
      <c r="G134" s="374">
        <f t="shared" si="63"/>
        <v>13000</v>
      </c>
      <c r="H134" s="12">
        <f>H135</f>
        <v>700</v>
      </c>
      <c r="I134" s="12">
        <f>G134+H134</f>
        <v>13700</v>
      </c>
    </row>
    <row r="135" spans="1:9" x14ac:dyDescent="0.25">
      <c r="A135" s="502">
        <v>32</v>
      </c>
      <c r="B135" s="503"/>
      <c r="C135" s="504"/>
      <c r="D135" s="5" t="s">
        <v>35</v>
      </c>
      <c r="E135" s="19">
        <v>12000</v>
      </c>
      <c r="F135" s="19"/>
      <c r="G135" s="405">
        <v>13000</v>
      </c>
      <c r="H135" s="19">
        <f>200+500</f>
        <v>700</v>
      </c>
      <c r="I135" s="12">
        <f>G135+H135</f>
        <v>13700</v>
      </c>
    </row>
    <row r="136" spans="1:9" ht="30" customHeight="1" x14ac:dyDescent="0.25">
      <c r="A136" s="518" t="s">
        <v>639</v>
      </c>
      <c r="B136" s="519"/>
      <c r="C136" s="519"/>
      <c r="D136" s="520"/>
      <c r="E136" s="28">
        <f t="shared" ref="E136:I136" si="64">E140</f>
        <v>800</v>
      </c>
      <c r="F136" s="28">
        <f t="shared" si="64"/>
        <v>0</v>
      </c>
      <c r="G136" s="401">
        <f t="shared" si="64"/>
        <v>800</v>
      </c>
      <c r="H136" s="401">
        <f t="shared" si="64"/>
        <v>10000</v>
      </c>
      <c r="I136" s="36">
        <f t="shared" si="64"/>
        <v>10800</v>
      </c>
    </row>
    <row r="137" spans="1:9" ht="15" customHeight="1" x14ac:dyDescent="0.25">
      <c r="A137" s="176" t="s">
        <v>447</v>
      </c>
      <c r="B137" s="181"/>
      <c r="C137" s="181"/>
      <c r="D137" s="181"/>
      <c r="E137" s="180"/>
      <c r="F137" s="180"/>
      <c r="G137" s="408"/>
      <c r="H137" s="180"/>
      <c r="I137" s="180"/>
    </row>
    <row r="138" spans="1:9" x14ac:dyDescent="0.25">
      <c r="A138" s="494" t="s">
        <v>701</v>
      </c>
      <c r="B138" s="495"/>
      <c r="C138" s="495"/>
      <c r="D138" s="495"/>
      <c r="E138" s="26">
        <v>50</v>
      </c>
      <c r="F138" s="26"/>
      <c r="G138" s="409">
        <f>E138+F138</f>
        <v>50</v>
      </c>
      <c r="H138" s="26">
        <v>100</v>
      </c>
      <c r="I138" s="26">
        <f>G138+H138</f>
        <v>150</v>
      </c>
    </row>
    <row r="139" spans="1:9" x14ac:dyDescent="0.25">
      <c r="A139" s="511" t="s">
        <v>69</v>
      </c>
      <c r="B139" s="512"/>
      <c r="C139" s="512"/>
      <c r="D139" s="512"/>
      <c r="E139" s="26">
        <f>E136-E138</f>
        <v>750</v>
      </c>
      <c r="F139" s="26"/>
      <c r="G139" s="409">
        <f>E139+F139</f>
        <v>750</v>
      </c>
      <c r="H139" s="26">
        <v>9900</v>
      </c>
      <c r="I139" s="26">
        <f>G139+H139</f>
        <v>10650</v>
      </c>
    </row>
    <row r="140" spans="1:9" x14ac:dyDescent="0.25">
      <c r="A140" s="496">
        <v>3</v>
      </c>
      <c r="B140" s="497"/>
      <c r="C140" s="498"/>
      <c r="D140" s="5" t="s">
        <v>19</v>
      </c>
      <c r="E140" s="12">
        <f>E141</f>
        <v>800</v>
      </c>
      <c r="F140" s="12">
        <f t="shared" ref="F140:G140" si="65">F141</f>
        <v>0</v>
      </c>
      <c r="G140" s="374">
        <f t="shared" si="65"/>
        <v>800</v>
      </c>
      <c r="H140" s="12">
        <f>H141</f>
        <v>10000</v>
      </c>
      <c r="I140" s="12">
        <f>G140+H140</f>
        <v>10800</v>
      </c>
    </row>
    <row r="141" spans="1:9" x14ac:dyDescent="0.25">
      <c r="A141" s="502">
        <v>32</v>
      </c>
      <c r="B141" s="503"/>
      <c r="C141" s="504"/>
      <c r="D141" s="5" t="s">
        <v>35</v>
      </c>
      <c r="E141" s="19">
        <v>800</v>
      </c>
      <c r="F141" s="19"/>
      <c r="G141" s="405">
        <f>E141+F141</f>
        <v>800</v>
      </c>
      <c r="H141" s="19">
        <v>10000</v>
      </c>
      <c r="I141" s="12">
        <f>G141+H141</f>
        <v>10800</v>
      </c>
    </row>
    <row r="142" spans="1:9" ht="29.25" customHeight="1" x14ac:dyDescent="0.25">
      <c r="A142" s="518" t="s">
        <v>640</v>
      </c>
      <c r="B142" s="519"/>
      <c r="C142" s="519"/>
      <c r="D142" s="520"/>
      <c r="E142" s="28">
        <f t="shared" ref="E142:I142" si="66">E147</f>
        <v>22000</v>
      </c>
      <c r="F142" s="28">
        <f t="shared" si="66"/>
        <v>-2000</v>
      </c>
      <c r="G142" s="401">
        <f t="shared" si="66"/>
        <v>22000</v>
      </c>
      <c r="H142" s="401">
        <f t="shared" si="66"/>
        <v>0</v>
      </c>
      <c r="I142" s="36">
        <f t="shared" si="66"/>
        <v>22000</v>
      </c>
    </row>
    <row r="143" spans="1:9" ht="15" customHeight="1" x14ac:dyDescent="0.25">
      <c r="A143" s="176" t="s">
        <v>451</v>
      </c>
      <c r="B143" s="181"/>
      <c r="C143" s="181"/>
      <c r="D143" s="181"/>
      <c r="E143" s="180"/>
      <c r="F143" s="180"/>
      <c r="G143" s="408"/>
      <c r="H143" s="180"/>
      <c r="I143" s="180"/>
    </row>
    <row r="144" spans="1:9" x14ac:dyDescent="0.25">
      <c r="A144" s="494" t="s">
        <v>69</v>
      </c>
      <c r="B144" s="495"/>
      <c r="C144" s="495"/>
      <c r="D144" s="631"/>
      <c r="E144" s="26">
        <f>E142</f>
        <v>22000</v>
      </c>
      <c r="F144" s="26">
        <v>-2000</v>
      </c>
      <c r="G144" s="409">
        <v>22000</v>
      </c>
      <c r="H144" s="26">
        <f>H147</f>
        <v>0</v>
      </c>
      <c r="I144" s="26">
        <f>G144+H144</f>
        <v>22000</v>
      </c>
    </row>
    <row r="145" spans="1:9" hidden="1" x14ac:dyDescent="0.25">
      <c r="A145" s="511" t="s">
        <v>120</v>
      </c>
      <c r="B145" s="512"/>
      <c r="C145" s="512"/>
      <c r="D145" s="512"/>
      <c r="E145" s="26"/>
      <c r="F145" s="26"/>
      <c r="G145" s="409">
        <f>E145+F145</f>
        <v>0</v>
      </c>
      <c r="H145" s="26"/>
      <c r="I145" s="26">
        <f t="shared" ref="I145:I146" si="67">G145+H145</f>
        <v>0</v>
      </c>
    </row>
    <row r="146" spans="1:9" hidden="1" x14ac:dyDescent="0.25">
      <c r="A146" s="16" t="s">
        <v>77</v>
      </c>
      <c r="B146" s="16"/>
      <c r="C146" s="16"/>
      <c r="D146" s="16"/>
      <c r="E146" s="26"/>
      <c r="F146" s="26"/>
      <c r="G146" s="409">
        <f>E146+F146</f>
        <v>0</v>
      </c>
      <c r="H146" s="26"/>
      <c r="I146" s="26">
        <f t="shared" si="67"/>
        <v>0</v>
      </c>
    </row>
    <row r="147" spans="1:9" x14ac:dyDescent="0.25">
      <c r="A147" s="496">
        <v>3</v>
      </c>
      <c r="B147" s="497"/>
      <c r="C147" s="498"/>
      <c r="D147" s="5" t="s">
        <v>19</v>
      </c>
      <c r="E147" s="19">
        <f>E148</f>
        <v>22000</v>
      </c>
      <c r="F147" s="19">
        <f t="shared" ref="F147:G147" si="68">F148</f>
        <v>-2000</v>
      </c>
      <c r="G147" s="405">
        <f t="shared" si="68"/>
        <v>22000</v>
      </c>
      <c r="H147" s="19">
        <f>H148</f>
        <v>0</v>
      </c>
      <c r="I147" s="19">
        <f>G147+H147</f>
        <v>22000</v>
      </c>
    </row>
    <row r="148" spans="1:9" x14ac:dyDescent="0.25">
      <c r="A148" s="502">
        <v>32</v>
      </c>
      <c r="B148" s="503"/>
      <c r="C148" s="504"/>
      <c r="D148" s="5" t="s">
        <v>35</v>
      </c>
      <c r="E148" s="19">
        <v>22000</v>
      </c>
      <c r="F148" s="19">
        <v>-2000</v>
      </c>
      <c r="G148" s="405">
        <v>22000</v>
      </c>
      <c r="H148" s="19"/>
      <c r="I148" s="19">
        <f>G148+H148</f>
        <v>22000</v>
      </c>
    </row>
    <row r="149" spans="1:9" x14ac:dyDescent="0.25">
      <c r="A149" s="508" t="s">
        <v>428</v>
      </c>
      <c r="B149" s="509"/>
      <c r="C149" s="509"/>
      <c r="D149" s="510"/>
      <c r="E149" s="41">
        <f>E150+E156+E163+E169+E185+E192</f>
        <v>505000</v>
      </c>
      <c r="F149" s="41">
        <f>F150+F156+F163+F169+F185+F192</f>
        <v>46000</v>
      </c>
      <c r="G149" s="407">
        <f>G150+G156+G163+G169+G185+G192+G177</f>
        <v>667600</v>
      </c>
      <c r="H149" s="407">
        <f>H150+H156+H163+H169+H185+H192+H177</f>
        <v>-316000</v>
      </c>
      <c r="I149" s="407">
        <f>I150+I156+I163+I169+I185+I192+I177</f>
        <v>351600</v>
      </c>
    </row>
    <row r="150" spans="1:9" ht="29.25" customHeight="1" x14ac:dyDescent="0.25">
      <c r="A150" s="528" t="s">
        <v>641</v>
      </c>
      <c r="B150" s="528"/>
      <c r="C150" s="528"/>
      <c r="D150" s="528"/>
      <c r="E150" s="29">
        <f t="shared" ref="E150:I150" si="69">E153</f>
        <v>25000</v>
      </c>
      <c r="F150" s="29">
        <f t="shared" si="69"/>
        <v>7000</v>
      </c>
      <c r="G150" s="412">
        <f t="shared" si="69"/>
        <v>32000</v>
      </c>
      <c r="H150" s="412">
        <f t="shared" si="69"/>
        <v>-100</v>
      </c>
      <c r="I150" s="32">
        <f t="shared" si="69"/>
        <v>31900</v>
      </c>
    </row>
    <row r="151" spans="1:9" x14ac:dyDescent="0.25">
      <c r="A151" s="176" t="s">
        <v>447</v>
      </c>
      <c r="B151" s="182"/>
      <c r="C151" s="182"/>
      <c r="D151" s="183"/>
      <c r="E151" s="184"/>
      <c r="F151" s="184"/>
      <c r="G151" s="413"/>
      <c r="H151" s="428"/>
      <c r="I151" s="428"/>
    </row>
    <row r="152" spans="1:9" x14ac:dyDescent="0.25">
      <c r="A152" s="16" t="s">
        <v>69</v>
      </c>
      <c r="B152" s="16"/>
      <c r="C152" s="16"/>
      <c r="D152" s="16"/>
      <c r="E152" s="26">
        <f>E150</f>
        <v>25000</v>
      </c>
      <c r="F152" s="26">
        <v>7000</v>
      </c>
      <c r="G152" s="409">
        <f>E152+F152</f>
        <v>32000</v>
      </c>
      <c r="H152" s="26">
        <v>-100</v>
      </c>
      <c r="I152" s="26">
        <f>G152+H152</f>
        <v>31900</v>
      </c>
    </row>
    <row r="153" spans="1:9" ht="30" customHeight="1" x14ac:dyDescent="0.25">
      <c r="A153" s="496">
        <v>4</v>
      </c>
      <c r="B153" s="497"/>
      <c r="C153" s="498"/>
      <c r="D153" s="5" t="s">
        <v>5</v>
      </c>
      <c r="E153" s="19">
        <f>E154</f>
        <v>25000</v>
      </c>
      <c r="F153" s="19">
        <f>F154</f>
        <v>7000</v>
      </c>
      <c r="G153" s="405">
        <f>E153+F153</f>
        <v>32000</v>
      </c>
      <c r="H153" s="19">
        <f>H154</f>
        <v>-100</v>
      </c>
      <c r="I153" s="19">
        <f>G153+H153</f>
        <v>31900</v>
      </c>
    </row>
    <row r="154" spans="1:9" ht="30" customHeight="1" x14ac:dyDescent="0.25">
      <c r="A154" s="157"/>
      <c r="B154" s="158"/>
      <c r="C154" s="158">
        <v>45</v>
      </c>
      <c r="D154" s="159" t="s">
        <v>126</v>
      </c>
      <c r="E154" s="19">
        <v>25000</v>
      </c>
      <c r="F154" s="19">
        <v>7000</v>
      </c>
      <c r="G154" s="405">
        <f>E154+F154</f>
        <v>32000</v>
      </c>
      <c r="H154" s="19">
        <v>-100</v>
      </c>
      <c r="I154" s="19">
        <f>G154+H154</f>
        <v>31900</v>
      </c>
    </row>
    <row r="155" spans="1:9" ht="30" customHeight="1" x14ac:dyDescent="0.25">
      <c r="A155" s="157"/>
      <c r="B155" s="158"/>
      <c r="C155" s="158"/>
      <c r="D155" s="460"/>
      <c r="E155" s="461"/>
      <c r="F155" s="461"/>
      <c r="G155" s="462"/>
      <c r="H155" s="461"/>
      <c r="I155" s="461"/>
    </row>
    <row r="156" spans="1:9" ht="15" customHeight="1" x14ac:dyDescent="0.25">
      <c r="A156" s="522" t="s">
        <v>642</v>
      </c>
      <c r="B156" s="523"/>
      <c r="C156" s="523"/>
      <c r="D156" s="524"/>
      <c r="E156" s="651">
        <f>E161</f>
        <v>30000</v>
      </c>
      <c r="F156" s="651">
        <f>F161</f>
        <v>29000</v>
      </c>
      <c r="G156" s="561">
        <f>G161</f>
        <v>59000</v>
      </c>
      <c r="H156" s="548">
        <f>H161</f>
        <v>-900</v>
      </c>
      <c r="I156" s="548">
        <f>G156+H156</f>
        <v>58100</v>
      </c>
    </row>
    <row r="157" spans="1:9" x14ac:dyDescent="0.25">
      <c r="A157" s="516" t="s">
        <v>121</v>
      </c>
      <c r="B157" s="517"/>
      <c r="C157" s="517"/>
      <c r="D157" s="521"/>
      <c r="E157" s="652"/>
      <c r="F157" s="652"/>
      <c r="G157" s="563"/>
      <c r="H157" s="549"/>
      <c r="I157" s="549"/>
    </row>
    <row r="158" spans="1:9" x14ac:dyDescent="0.25">
      <c r="A158" s="176" t="s">
        <v>447</v>
      </c>
      <c r="B158" s="182"/>
      <c r="C158" s="182"/>
      <c r="D158" s="183"/>
      <c r="E158" s="184"/>
      <c r="F158" s="184"/>
      <c r="G158" s="413"/>
      <c r="H158" s="428"/>
      <c r="I158" s="428"/>
    </row>
    <row r="159" spans="1:9" x14ac:dyDescent="0.25">
      <c r="A159" s="16" t="s">
        <v>69</v>
      </c>
      <c r="B159" s="16"/>
      <c r="C159" s="16"/>
      <c r="D159" s="16"/>
      <c r="E159" s="26">
        <f>E156</f>
        <v>30000</v>
      </c>
      <c r="F159" s="26">
        <v>15205</v>
      </c>
      <c r="G159" s="409">
        <f>E159+F159</f>
        <v>45205</v>
      </c>
      <c r="H159" s="26">
        <v>-900</v>
      </c>
      <c r="I159" s="26">
        <f>G159+H159</f>
        <v>44305</v>
      </c>
    </row>
    <row r="160" spans="1:9" x14ac:dyDescent="0.25">
      <c r="A160" s="16" t="s">
        <v>77</v>
      </c>
      <c r="B160" s="16"/>
      <c r="C160" s="16"/>
      <c r="D160" s="16"/>
      <c r="E160" s="26"/>
      <c r="F160" s="26">
        <v>13795</v>
      </c>
      <c r="G160" s="409">
        <f>E160+F160</f>
        <v>13795</v>
      </c>
      <c r="H160" s="26"/>
      <c r="I160" s="26">
        <f>G160+H160</f>
        <v>13795</v>
      </c>
    </row>
    <row r="161" spans="1:9" ht="30" customHeight="1" x14ac:dyDescent="0.25">
      <c r="A161" s="496">
        <v>4</v>
      </c>
      <c r="B161" s="497"/>
      <c r="C161" s="498"/>
      <c r="D161" s="5" t="s">
        <v>5</v>
      </c>
      <c r="E161" s="19">
        <f>E162</f>
        <v>30000</v>
      </c>
      <c r="F161" s="19">
        <f t="shared" ref="F161:G161" si="70">F162</f>
        <v>29000</v>
      </c>
      <c r="G161" s="405">
        <f t="shared" si="70"/>
        <v>59000</v>
      </c>
      <c r="H161" s="19">
        <f>H162</f>
        <v>-900</v>
      </c>
      <c r="I161" s="19">
        <f>G161+H161</f>
        <v>58100</v>
      </c>
    </row>
    <row r="162" spans="1:9" ht="30" customHeight="1" x14ac:dyDescent="0.25">
      <c r="A162" s="157"/>
      <c r="B162" s="158"/>
      <c r="C162" s="158">
        <v>45</v>
      </c>
      <c r="D162" s="159" t="s">
        <v>126</v>
      </c>
      <c r="E162" s="19">
        <v>30000</v>
      </c>
      <c r="F162" s="19">
        <v>29000</v>
      </c>
      <c r="G162" s="405">
        <f>E162+F162</f>
        <v>59000</v>
      </c>
      <c r="H162" s="19">
        <v>-900</v>
      </c>
      <c r="I162" s="19">
        <f>G162+H162</f>
        <v>58100</v>
      </c>
    </row>
    <row r="163" spans="1:9" ht="30.75" customHeight="1" x14ac:dyDescent="0.25">
      <c r="A163" s="528" t="s">
        <v>643</v>
      </c>
      <c r="B163" s="528"/>
      <c r="C163" s="528"/>
      <c r="D163" s="528"/>
      <c r="E163" s="30">
        <f t="shared" ref="E163:G163" si="71">E167</f>
        <v>60000</v>
      </c>
      <c r="F163" s="30">
        <f t="shared" si="71"/>
        <v>10000</v>
      </c>
      <c r="G163" s="414">
        <f t="shared" si="71"/>
        <v>90600</v>
      </c>
      <c r="H163" s="209">
        <f>H167</f>
        <v>1000</v>
      </c>
      <c r="I163" s="209">
        <f>G163+H163</f>
        <v>91600</v>
      </c>
    </row>
    <row r="164" spans="1:9" x14ac:dyDescent="0.25">
      <c r="A164" s="185" t="s">
        <v>447</v>
      </c>
      <c r="B164" s="182"/>
      <c r="C164" s="182"/>
      <c r="D164" s="183"/>
      <c r="E164" s="184"/>
      <c r="F164" s="184"/>
      <c r="G164" s="413"/>
      <c r="H164" s="428"/>
      <c r="I164" s="428"/>
    </row>
    <row r="165" spans="1:9" x14ac:dyDescent="0.25">
      <c r="A165" s="16" t="s">
        <v>69</v>
      </c>
      <c r="B165" s="16"/>
      <c r="C165" s="16"/>
      <c r="D165" s="16"/>
      <c r="E165" s="26">
        <v>30000</v>
      </c>
      <c r="F165" s="26">
        <v>40000</v>
      </c>
      <c r="G165" s="409">
        <v>50600</v>
      </c>
      <c r="H165" s="26">
        <v>-5000</v>
      </c>
      <c r="I165" s="26">
        <f>G165+H165</f>
        <v>45600</v>
      </c>
    </row>
    <row r="166" spans="1:9" x14ac:dyDescent="0.25">
      <c r="A166" s="16" t="s">
        <v>834</v>
      </c>
      <c r="B166" s="16"/>
      <c r="C166" s="16"/>
      <c r="D166" s="16"/>
      <c r="E166" s="26">
        <f>E163-E165</f>
        <v>30000</v>
      </c>
      <c r="F166" s="26">
        <v>-30000</v>
      </c>
      <c r="G166" s="409">
        <v>40000</v>
      </c>
      <c r="H166" s="26">
        <v>6000</v>
      </c>
      <c r="I166" s="26">
        <f>G166+H166</f>
        <v>46000</v>
      </c>
    </row>
    <row r="167" spans="1:9" ht="30" customHeight="1" x14ac:dyDescent="0.25">
      <c r="A167" s="496">
        <v>4</v>
      </c>
      <c r="B167" s="497"/>
      <c r="C167" s="498"/>
      <c r="D167" s="5" t="s">
        <v>5</v>
      </c>
      <c r="E167" s="19">
        <f>E168</f>
        <v>60000</v>
      </c>
      <c r="F167" s="19">
        <f t="shared" ref="F167:G167" si="72">F168</f>
        <v>10000</v>
      </c>
      <c r="G167" s="405">
        <f t="shared" si="72"/>
        <v>90600</v>
      </c>
      <c r="H167" s="19">
        <f>H168</f>
        <v>1000</v>
      </c>
      <c r="I167" s="19">
        <f>G167+H167</f>
        <v>91600</v>
      </c>
    </row>
    <row r="168" spans="1:9" ht="30" customHeight="1" x14ac:dyDescent="0.25">
      <c r="A168" s="502">
        <v>42</v>
      </c>
      <c r="B168" s="503"/>
      <c r="C168" s="504"/>
      <c r="D168" s="5" t="s">
        <v>114</v>
      </c>
      <c r="E168" s="19">
        <v>60000</v>
      </c>
      <c r="F168" s="19">
        <v>10000</v>
      </c>
      <c r="G168" s="405">
        <v>90600</v>
      </c>
      <c r="H168" s="19">
        <v>1000</v>
      </c>
      <c r="I168" s="19">
        <f>G168+H168</f>
        <v>91600</v>
      </c>
    </row>
    <row r="169" spans="1:9" s="146" customFormat="1" ht="5.25" customHeight="1" x14ac:dyDescent="0.2">
      <c r="A169" s="529" t="s">
        <v>835</v>
      </c>
      <c r="B169" s="530"/>
      <c r="C169" s="530"/>
      <c r="D169" s="531"/>
      <c r="E169" s="576">
        <f>E175</f>
        <v>90000</v>
      </c>
      <c r="F169" s="576">
        <f>F175</f>
        <v>-90000</v>
      </c>
      <c r="G169" s="561">
        <f>G175</f>
        <v>64000</v>
      </c>
      <c r="H169" s="548">
        <f>H175</f>
        <v>5000</v>
      </c>
      <c r="I169" s="548">
        <f>G169+H169</f>
        <v>69000</v>
      </c>
    </row>
    <row r="170" spans="1:9" ht="29.25" customHeight="1" x14ac:dyDescent="0.25">
      <c r="A170" s="532"/>
      <c r="B170" s="533"/>
      <c r="C170" s="533"/>
      <c r="D170" s="534"/>
      <c r="E170" s="578"/>
      <c r="F170" s="578"/>
      <c r="G170" s="563"/>
      <c r="H170" s="549"/>
      <c r="I170" s="549"/>
    </row>
    <row r="171" spans="1:9" x14ac:dyDescent="0.25">
      <c r="A171" s="185" t="s">
        <v>447</v>
      </c>
      <c r="B171" s="182"/>
      <c r="C171" s="182"/>
      <c r="D171" s="183"/>
      <c r="E171" s="184"/>
      <c r="F171" s="184"/>
      <c r="G171" s="413"/>
      <c r="H171" s="428"/>
      <c r="I171" s="428"/>
    </row>
    <row r="172" spans="1:9" x14ac:dyDescent="0.25">
      <c r="A172" s="16" t="s">
        <v>69</v>
      </c>
      <c r="B172" s="16"/>
      <c r="C172" s="16"/>
      <c r="D172" s="16"/>
      <c r="E172" s="26">
        <v>40000</v>
      </c>
      <c r="F172" s="26">
        <v>-40000</v>
      </c>
      <c r="G172" s="409">
        <v>42700</v>
      </c>
      <c r="H172" s="26">
        <v>-3700</v>
      </c>
      <c r="I172" s="26">
        <f>G172+H172</f>
        <v>39000</v>
      </c>
    </row>
    <row r="173" spans="1:9" ht="30" customHeight="1" x14ac:dyDescent="0.25">
      <c r="A173" s="526" t="s">
        <v>838</v>
      </c>
      <c r="B173" s="527"/>
      <c r="C173" s="527"/>
      <c r="D173" s="527"/>
      <c r="E173" s="26"/>
      <c r="F173" s="26"/>
      <c r="G173" s="409">
        <v>18000</v>
      </c>
      <c r="H173" s="26">
        <v>12000</v>
      </c>
      <c r="I173" s="26">
        <f t="shared" ref="I173:I174" si="73">G173+H173</f>
        <v>30000</v>
      </c>
    </row>
    <row r="174" spans="1:9" x14ac:dyDescent="0.25">
      <c r="A174" s="16" t="s">
        <v>837</v>
      </c>
      <c r="B174" s="16"/>
      <c r="C174" s="16"/>
      <c r="D174" s="16"/>
      <c r="E174" s="26">
        <f>E169-E172</f>
        <v>50000</v>
      </c>
      <c r="F174" s="26">
        <v>-50000</v>
      </c>
      <c r="G174" s="409">
        <v>3300</v>
      </c>
      <c r="H174" s="26">
        <v>-3300</v>
      </c>
      <c r="I174" s="26">
        <f t="shared" si="73"/>
        <v>0</v>
      </c>
    </row>
    <row r="175" spans="1:9" ht="30" customHeight="1" x14ac:dyDescent="0.25">
      <c r="A175" s="496">
        <v>4</v>
      </c>
      <c r="B175" s="497"/>
      <c r="C175" s="498"/>
      <c r="D175" s="5" t="s">
        <v>5</v>
      </c>
      <c r="E175" s="19">
        <f>E176</f>
        <v>90000</v>
      </c>
      <c r="F175" s="19">
        <f>F176</f>
        <v>-90000</v>
      </c>
      <c r="G175" s="405">
        <f>G176</f>
        <v>64000</v>
      </c>
      <c r="H175" s="19">
        <f>H176</f>
        <v>5000</v>
      </c>
      <c r="I175" s="19">
        <f>G175+H175</f>
        <v>69000</v>
      </c>
    </row>
    <row r="176" spans="1:9" ht="30" customHeight="1" x14ac:dyDescent="0.25">
      <c r="A176" s="502">
        <v>42</v>
      </c>
      <c r="B176" s="503"/>
      <c r="C176" s="504"/>
      <c r="D176" s="5" t="s">
        <v>114</v>
      </c>
      <c r="E176" s="19">
        <v>90000</v>
      </c>
      <c r="F176" s="19">
        <v>-90000</v>
      </c>
      <c r="G176" s="405">
        <v>64000</v>
      </c>
      <c r="H176" s="19">
        <v>5000</v>
      </c>
      <c r="I176" s="19">
        <f>G176+H176</f>
        <v>69000</v>
      </c>
    </row>
    <row r="177" spans="1:9" ht="19.5" customHeight="1" x14ac:dyDescent="0.25">
      <c r="A177" s="529" t="s">
        <v>836</v>
      </c>
      <c r="B177" s="530"/>
      <c r="C177" s="530"/>
      <c r="D177" s="531"/>
      <c r="E177" s="19"/>
      <c r="F177" s="19"/>
      <c r="G177" s="548">
        <f>G183</f>
        <v>34000</v>
      </c>
      <c r="H177" s="548">
        <f>H183</f>
        <v>0</v>
      </c>
      <c r="I177" s="548">
        <f>G177+H177</f>
        <v>34000</v>
      </c>
    </row>
    <row r="178" spans="1:9" x14ac:dyDescent="0.25">
      <c r="A178" s="532"/>
      <c r="B178" s="533"/>
      <c r="C178" s="533"/>
      <c r="D178" s="534"/>
      <c r="E178" s="184"/>
      <c r="F178" s="184"/>
      <c r="G178" s="549"/>
      <c r="H178" s="549"/>
      <c r="I178" s="549"/>
    </row>
    <row r="179" spans="1:9" x14ac:dyDescent="0.25">
      <c r="A179" s="185" t="s">
        <v>447</v>
      </c>
      <c r="B179" s="182"/>
      <c r="C179" s="182"/>
      <c r="D179" s="183"/>
      <c r="E179" s="184"/>
      <c r="F179" s="184"/>
      <c r="G179" s="413"/>
      <c r="H179" s="428"/>
      <c r="I179" s="428"/>
    </row>
    <row r="180" spans="1:9" x14ac:dyDescent="0.25">
      <c r="A180" s="16" t="s">
        <v>69</v>
      </c>
      <c r="B180" s="16"/>
      <c r="C180" s="16"/>
      <c r="D180" s="16"/>
      <c r="E180" s="26">
        <v>40000</v>
      </c>
      <c r="F180" s="26">
        <v>-40000</v>
      </c>
      <c r="G180" s="409">
        <v>12700</v>
      </c>
      <c r="H180" s="26">
        <v>21300</v>
      </c>
      <c r="I180" s="26">
        <f>G180+H180</f>
        <v>34000</v>
      </c>
    </row>
    <row r="181" spans="1:9" ht="30" customHeight="1" x14ac:dyDescent="0.25">
      <c r="A181" s="526" t="s">
        <v>838</v>
      </c>
      <c r="B181" s="527"/>
      <c r="C181" s="527"/>
      <c r="D181" s="527"/>
      <c r="E181" s="26"/>
      <c r="F181" s="26"/>
      <c r="G181" s="409">
        <v>18000</v>
      </c>
      <c r="H181" s="26">
        <v>-18000</v>
      </c>
      <c r="I181" s="26">
        <f>G181+H181</f>
        <v>0</v>
      </c>
    </row>
    <row r="182" spans="1:9" x14ac:dyDescent="0.25">
      <c r="A182" s="16" t="s">
        <v>837</v>
      </c>
      <c r="B182" s="16"/>
      <c r="C182" s="16"/>
      <c r="D182" s="16"/>
      <c r="E182" s="26">
        <f>E176-E180</f>
        <v>50000</v>
      </c>
      <c r="F182" s="26">
        <v>-50000</v>
      </c>
      <c r="G182" s="409">
        <v>3300</v>
      </c>
      <c r="H182" s="26">
        <v>-3300</v>
      </c>
      <c r="I182" s="26">
        <f t="shared" ref="I182" si="74">G182+H182</f>
        <v>0</v>
      </c>
    </row>
    <row r="183" spans="1:9" ht="30" customHeight="1" x14ac:dyDescent="0.25">
      <c r="A183" s="496">
        <v>4</v>
      </c>
      <c r="B183" s="497"/>
      <c r="C183" s="498"/>
      <c r="D183" s="5" t="s">
        <v>5</v>
      </c>
      <c r="E183" s="19">
        <f>E184</f>
        <v>90000</v>
      </c>
      <c r="F183" s="19">
        <f>F184</f>
        <v>-90000</v>
      </c>
      <c r="G183" s="405">
        <f>G184</f>
        <v>34000</v>
      </c>
      <c r="H183" s="19">
        <f>H184</f>
        <v>0</v>
      </c>
      <c r="I183" s="19">
        <f>G183+H183</f>
        <v>34000</v>
      </c>
    </row>
    <row r="184" spans="1:9" ht="30" customHeight="1" x14ac:dyDescent="0.25">
      <c r="A184" s="502">
        <v>42</v>
      </c>
      <c r="B184" s="503"/>
      <c r="C184" s="504"/>
      <c r="D184" s="5" t="s">
        <v>114</v>
      </c>
      <c r="E184" s="19">
        <v>90000</v>
      </c>
      <c r="F184" s="19">
        <v>-90000</v>
      </c>
      <c r="G184" s="405">
        <v>34000</v>
      </c>
      <c r="H184" s="19"/>
      <c r="I184" s="19">
        <f>G184+H184</f>
        <v>34000</v>
      </c>
    </row>
    <row r="185" spans="1:9" ht="30" customHeight="1" x14ac:dyDescent="0.25">
      <c r="A185" s="528" t="s">
        <v>644</v>
      </c>
      <c r="B185" s="528"/>
      <c r="C185" s="528"/>
      <c r="D185" s="528"/>
      <c r="E185" s="209">
        <f>E190</f>
        <v>230000</v>
      </c>
      <c r="F185" s="209">
        <v>92000</v>
      </c>
      <c r="G185" s="414">
        <f>E185+F185</f>
        <v>322000</v>
      </c>
      <c r="H185" s="209">
        <f>H190</f>
        <v>-321000</v>
      </c>
      <c r="I185" s="209">
        <f>G185+H185</f>
        <v>1000</v>
      </c>
    </row>
    <row r="186" spans="1:9" ht="15" customHeight="1" x14ac:dyDescent="0.25">
      <c r="A186" s="185" t="s">
        <v>447</v>
      </c>
      <c r="B186" s="182"/>
      <c r="C186" s="182"/>
      <c r="D186" s="183"/>
      <c r="E186" s="184"/>
      <c r="F186" s="184"/>
      <c r="G186" s="413"/>
      <c r="H186" s="428"/>
      <c r="I186" s="428"/>
    </row>
    <row r="187" spans="1:9" ht="0.75" customHeight="1" x14ac:dyDescent="0.25">
      <c r="A187" s="16" t="s">
        <v>69</v>
      </c>
      <c r="B187" s="16"/>
      <c r="C187" s="16"/>
      <c r="D187" s="16"/>
      <c r="E187" s="276"/>
      <c r="F187" s="285"/>
      <c r="G187" s="415">
        <f>E187+F187</f>
        <v>0</v>
      </c>
      <c r="H187" s="429"/>
      <c r="I187" s="429">
        <f>G187+H187</f>
        <v>0</v>
      </c>
    </row>
    <row r="188" spans="1:9" ht="15" customHeight="1" x14ac:dyDescent="0.25">
      <c r="A188" s="16" t="s">
        <v>69</v>
      </c>
      <c r="B188" s="16"/>
      <c r="C188" s="16"/>
      <c r="D188" s="16"/>
      <c r="E188" s="276"/>
      <c r="F188" s="285"/>
      <c r="G188" s="415"/>
      <c r="H188" s="429">
        <v>1000</v>
      </c>
      <c r="I188" s="429">
        <f>G188+H188</f>
        <v>1000</v>
      </c>
    </row>
    <row r="189" spans="1:9" x14ac:dyDescent="0.25">
      <c r="A189" s="16" t="s">
        <v>693</v>
      </c>
      <c r="B189" s="16"/>
      <c r="C189" s="16"/>
      <c r="D189" s="16"/>
      <c r="E189" s="26">
        <f>E185</f>
        <v>230000</v>
      </c>
      <c r="F189" s="26">
        <v>92000</v>
      </c>
      <c r="G189" s="409">
        <f>E189+F189</f>
        <v>322000</v>
      </c>
      <c r="H189" s="26">
        <v>-322000</v>
      </c>
      <c r="I189" s="429">
        <f>G189+H189</f>
        <v>0</v>
      </c>
    </row>
    <row r="190" spans="1:9" ht="30" customHeight="1" x14ac:dyDescent="0.25">
      <c r="A190" s="496">
        <v>4</v>
      </c>
      <c r="B190" s="497"/>
      <c r="C190" s="498"/>
      <c r="D190" s="5" t="s">
        <v>5</v>
      </c>
      <c r="E190" s="19">
        <f>E191</f>
        <v>230000</v>
      </c>
      <c r="F190" s="19">
        <f>F191</f>
        <v>92000</v>
      </c>
      <c r="G190" s="405">
        <f>E190+F190</f>
        <v>322000</v>
      </c>
      <c r="H190" s="19">
        <f>H191</f>
        <v>-321000</v>
      </c>
      <c r="I190" s="19">
        <f>G190+H190</f>
        <v>1000</v>
      </c>
    </row>
    <row r="191" spans="1:9" ht="30" customHeight="1" x14ac:dyDescent="0.25">
      <c r="A191" s="502">
        <v>42</v>
      </c>
      <c r="B191" s="503"/>
      <c r="C191" s="504"/>
      <c r="D191" s="5" t="s">
        <v>114</v>
      </c>
      <c r="E191" s="19">
        <v>230000</v>
      </c>
      <c r="F191" s="19">
        <v>92000</v>
      </c>
      <c r="G191" s="405">
        <f>E191+F191</f>
        <v>322000</v>
      </c>
      <c r="H191" s="19">
        <v>-321000</v>
      </c>
      <c r="I191" s="19">
        <f>G191+H191</f>
        <v>1000</v>
      </c>
    </row>
    <row r="192" spans="1:9" ht="30" customHeight="1" x14ac:dyDescent="0.25">
      <c r="A192" s="528" t="s">
        <v>645</v>
      </c>
      <c r="B192" s="528"/>
      <c r="C192" s="528"/>
      <c r="D192" s="528"/>
      <c r="E192" s="156">
        <f>E198</f>
        <v>70000</v>
      </c>
      <c r="F192" s="156">
        <f>F198</f>
        <v>-2000</v>
      </c>
      <c r="G192" s="414">
        <f>G198</f>
        <v>66000</v>
      </c>
      <c r="H192" s="414">
        <f>H198</f>
        <v>0</v>
      </c>
      <c r="I192" s="209">
        <f t="shared" ref="I192" si="75">G192+H192</f>
        <v>66000</v>
      </c>
    </row>
    <row r="193" spans="1:9" x14ac:dyDescent="0.25">
      <c r="A193" s="185" t="s">
        <v>447</v>
      </c>
      <c r="B193" s="182"/>
      <c r="C193" s="182"/>
      <c r="D193" s="183"/>
      <c r="E193" s="184"/>
      <c r="F193" s="184"/>
      <c r="G193" s="413"/>
      <c r="H193" s="428"/>
      <c r="I193" s="428"/>
    </row>
    <row r="194" spans="1:9" x14ac:dyDescent="0.25">
      <c r="A194" s="16" t="s">
        <v>693</v>
      </c>
      <c r="B194" s="16"/>
      <c r="C194" s="16"/>
      <c r="D194" s="16"/>
      <c r="E194" s="26">
        <f>35000</f>
        <v>35000</v>
      </c>
      <c r="F194" s="26">
        <v>2000</v>
      </c>
      <c r="G194" s="409">
        <v>25100</v>
      </c>
      <c r="H194" s="26"/>
      <c r="I194" s="26">
        <f>G194+H194</f>
        <v>25100</v>
      </c>
    </row>
    <row r="195" spans="1:9" x14ac:dyDescent="0.25">
      <c r="A195" s="16" t="s">
        <v>837</v>
      </c>
      <c r="B195" s="16"/>
      <c r="C195" s="16"/>
      <c r="D195" s="16"/>
      <c r="E195" s="26"/>
      <c r="F195" s="26"/>
      <c r="G195" s="409"/>
      <c r="H195" s="26">
        <v>9227.1</v>
      </c>
      <c r="I195" s="26">
        <f t="shared" ref="I195:I197" si="76">G195+H195</f>
        <v>9227.1</v>
      </c>
    </row>
    <row r="196" spans="1:9" ht="29.25" customHeight="1" x14ac:dyDescent="0.25">
      <c r="A196" s="526" t="s">
        <v>694</v>
      </c>
      <c r="B196" s="527"/>
      <c r="C196" s="527"/>
      <c r="D196" s="527"/>
      <c r="E196" s="26">
        <v>12000</v>
      </c>
      <c r="F196" s="26"/>
      <c r="G196" s="409">
        <f>E196+F196</f>
        <v>12000</v>
      </c>
      <c r="H196" s="26"/>
      <c r="I196" s="26">
        <f t="shared" si="76"/>
        <v>12000</v>
      </c>
    </row>
    <row r="197" spans="1:9" x14ac:dyDescent="0.25">
      <c r="A197" s="16" t="s">
        <v>69</v>
      </c>
      <c r="B197" s="16"/>
      <c r="C197" s="16"/>
      <c r="D197" s="16"/>
      <c r="E197" s="26">
        <f>E192-E194-E196</f>
        <v>23000</v>
      </c>
      <c r="F197" s="26">
        <v>-4000</v>
      </c>
      <c r="G197" s="409">
        <v>28900</v>
      </c>
      <c r="H197" s="26">
        <v>-9227.1</v>
      </c>
      <c r="I197" s="26">
        <f t="shared" si="76"/>
        <v>19672.900000000001</v>
      </c>
    </row>
    <row r="198" spans="1:9" ht="30" customHeight="1" x14ac:dyDescent="0.25">
      <c r="A198" s="496">
        <v>4</v>
      </c>
      <c r="B198" s="497"/>
      <c r="C198" s="498"/>
      <c r="D198" s="5" t="s">
        <v>5</v>
      </c>
      <c r="E198" s="19">
        <f>E199</f>
        <v>70000</v>
      </c>
      <c r="F198" s="19">
        <f>F199</f>
        <v>-2000</v>
      </c>
      <c r="G198" s="405">
        <f>G199</f>
        <v>66000</v>
      </c>
      <c r="H198" s="19">
        <f>H199</f>
        <v>0</v>
      </c>
      <c r="I198" s="19">
        <f>G198+H198</f>
        <v>66000</v>
      </c>
    </row>
    <row r="199" spans="1:9" ht="30" customHeight="1" x14ac:dyDescent="0.25">
      <c r="A199" s="502">
        <v>42</v>
      </c>
      <c r="B199" s="503"/>
      <c r="C199" s="504"/>
      <c r="D199" s="5" t="s">
        <v>114</v>
      </c>
      <c r="E199" s="19">
        <v>70000</v>
      </c>
      <c r="F199" s="19">
        <v>-2000</v>
      </c>
      <c r="G199" s="405">
        <v>66000</v>
      </c>
      <c r="H199" s="19"/>
      <c r="I199" s="19">
        <f>G199+H199</f>
        <v>66000</v>
      </c>
    </row>
    <row r="200" spans="1:9" x14ac:dyDescent="0.25">
      <c r="A200" s="535" t="s">
        <v>429</v>
      </c>
      <c r="B200" s="536"/>
      <c r="C200" s="536"/>
      <c r="D200" s="536"/>
      <c r="E200" s="596">
        <f t="shared" ref="E200:G200" si="77">E202</f>
        <v>30000</v>
      </c>
      <c r="F200" s="598">
        <f t="shared" si="77"/>
        <v>-5000</v>
      </c>
      <c r="G200" s="594">
        <f t="shared" si="77"/>
        <v>25000</v>
      </c>
      <c r="H200" s="594">
        <f t="shared" ref="H200:I200" si="78">H202</f>
        <v>7000</v>
      </c>
      <c r="I200" s="596">
        <f t="shared" si="78"/>
        <v>32000</v>
      </c>
    </row>
    <row r="201" spans="1:9" x14ac:dyDescent="0.25">
      <c r="A201" s="43" t="s">
        <v>88</v>
      </c>
      <c r="B201" s="44"/>
      <c r="C201" s="44"/>
      <c r="D201" s="44"/>
      <c r="E201" s="597"/>
      <c r="F201" s="599"/>
      <c r="G201" s="595"/>
      <c r="H201" s="595"/>
      <c r="I201" s="597"/>
    </row>
    <row r="202" spans="1:9" x14ac:dyDescent="0.25">
      <c r="A202" s="505" t="s">
        <v>646</v>
      </c>
      <c r="B202" s="506"/>
      <c r="C202" s="506"/>
      <c r="D202" s="507"/>
      <c r="E202" s="654">
        <f>E207</f>
        <v>30000</v>
      </c>
      <c r="F202" s="641">
        <f t="shared" ref="F202:G202" si="79">F207</f>
        <v>-5000</v>
      </c>
      <c r="G202" s="557">
        <f t="shared" si="79"/>
        <v>25000</v>
      </c>
      <c r="H202" s="557">
        <f t="shared" ref="H202:I202" si="80">H207</f>
        <v>7000</v>
      </c>
      <c r="I202" s="559">
        <f t="shared" si="80"/>
        <v>32000</v>
      </c>
    </row>
    <row r="203" spans="1:9" x14ac:dyDescent="0.25">
      <c r="A203" s="516" t="s">
        <v>122</v>
      </c>
      <c r="B203" s="517"/>
      <c r="C203" s="517"/>
      <c r="D203" s="517"/>
      <c r="E203" s="655"/>
      <c r="F203" s="642"/>
      <c r="G203" s="558"/>
      <c r="H203" s="558"/>
      <c r="I203" s="560"/>
    </row>
    <row r="204" spans="1:9" x14ac:dyDescent="0.25">
      <c r="A204" s="185" t="s">
        <v>453</v>
      </c>
      <c r="B204" s="182"/>
      <c r="C204" s="182"/>
      <c r="D204" s="183"/>
      <c r="E204" s="184"/>
      <c r="F204" s="184"/>
      <c r="G204" s="413"/>
      <c r="H204" s="428"/>
      <c r="I204" s="428"/>
    </row>
    <row r="205" spans="1:9" x14ac:dyDescent="0.25">
      <c r="A205" s="16" t="s">
        <v>837</v>
      </c>
      <c r="B205" s="16"/>
      <c r="C205" s="16"/>
      <c r="D205" s="16"/>
      <c r="E205" s="184"/>
      <c r="F205" s="184"/>
      <c r="G205" s="422">
        <v>10000</v>
      </c>
      <c r="H205" s="434">
        <v>5000</v>
      </c>
      <c r="I205" s="434">
        <f>G205+H205</f>
        <v>15000</v>
      </c>
    </row>
    <row r="206" spans="1:9" x14ac:dyDescent="0.25">
      <c r="A206" s="16" t="s">
        <v>69</v>
      </c>
      <c r="B206" s="16"/>
      <c r="C206" s="16"/>
      <c r="D206" s="16"/>
      <c r="E206" s="26">
        <f>E202</f>
        <v>30000</v>
      </c>
      <c r="F206" s="26">
        <f t="shared" ref="F206" si="81">F202</f>
        <v>-5000</v>
      </c>
      <c r="G206" s="409">
        <v>15000</v>
      </c>
      <c r="H206" s="26">
        <v>2000</v>
      </c>
      <c r="I206" s="434">
        <f>G206+H206</f>
        <v>17000</v>
      </c>
    </row>
    <row r="207" spans="1:9" ht="30" customHeight="1" x14ac:dyDescent="0.25">
      <c r="A207" s="496">
        <v>4</v>
      </c>
      <c r="B207" s="497"/>
      <c r="C207" s="498"/>
      <c r="D207" s="11" t="s">
        <v>5</v>
      </c>
      <c r="E207" s="19">
        <f>E208</f>
        <v>30000</v>
      </c>
      <c r="F207" s="19">
        <f t="shared" ref="F207:G207" si="82">F208</f>
        <v>-5000</v>
      </c>
      <c r="G207" s="405">
        <f t="shared" si="82"/>
        <v>25000</v>
      </c>
      <c r="H207" s="19">
        <f>H208</f>
        <v>7000</v>
      </c>
      <c r="I207" s="19">
        <f>G207+H207</f>
        <v>32000</v>
      </c>
    </row>
    <row r="208" spans="1:9" ht="28.5" customHeight="1" x14ac:dyDescent="0.25">
      <c r="A208" s="502">
        <v>42</v>
      </c>
      <c r="B208" s="503"/>
      <c r="C208" s="504"/>
      <c r="D208" s="11" t="s">
        <v>114</v>
      </c>
      <c r="E208" s="19">
        <v>30000</v>
      </c>
      <c r="F208" s="19">
        <v>-5000</v>
      </c>
      <c r="G208" s="405">
        <f>E208+F208</f>
        <v>25000</v>
      </c>
      <c r="H208" s="19">
        <v>7000</v>
      </c>
      <c r="I208" s="19">
        <f>G208+H208</f>
        <v>32000</v>
      </c>
    </row>
    <row r="209" spans="1:9" x14ac:dyDescent="0.25">
      <c r="A209" s="39" t="s">
        <v>430</v>
      </c>
      <c r="B209" s="39"/>
      <c r="C209" s="39"/>
      <c r="D209" s="39"/>
      <c r="E209" s="42">
        <f>E210+E216+E221</f>
        <v>27240</v>
      </c>
      <c r="F209" s="42">
        <f>F210+F216+F221</f>
        <v>-1000</v>
      </c>
      <c r="G209" s="45">
        <f>G210+G216+G221</f>
        <v>28240</v>
      </c>
      <c r="H209" s="45">
        <f t="shared" ref="H209:I209" si="83">H210+H216+H221</f>
        <v>300</v>
      </c>
      <c r="I209" s="45">
        <f t="shared" si="83"/>
        <v>28540</v>
      </c>
    </row>
    <row r="210" spans="1:9" x14ac:dyDescent="0.25">
      <c r="A210" s="491" t="s">
        <v>647</v>
      </c>
      <c r="B210" s="492"/>
      <c r="C210" s="492"/>
      <c r="D210" s="493"/>
      <c r="E210" s="34">
        <f t="shared" ref="E210:I210" si="84">E213</f>
        <v>16540</v>
      </c>
      <c r="F210" s="34">
        <f t="shared" si="84"/>
        <v>-2000</v>
      </c>
      <c r="G210" s="440">
        <f t="shared" si="84"/>
        <v>16540</v>
      </c>
      <c r="H210" s="440">
        <f t="shared" si="84"/>
        <v>2000</v>
      </c>
      <c r="I210" s="441">
        <f t="shared" si="84"/>
        <v>18540</v>
      </c>
    </row>
    <row r="211" spans="1:9" x14ac:dyDescent="0.25">
      <c r="A211" s="185" t="s">
        <v>454</v>
      </c>
      <c r="B211" s="182"/>
      <c r="C211" s="182"/>
      <c r="D211" s="183"/>
      <c r="E211" s="184"/>
      <c r="F211" s="184"/>
      <c r="G211" s="413"/>
      <c r="H211" s="428"/>
      <c r="I211" s="428"/>
    </row>
    <row r="212" spans="1:9" x14ac:dyDescent="0.25">
      <c r="A212" s="16" t="s">
        <v>69</v>
      </c>
      <c r="B212" s="16"/>
      <c r="C212" s="16"/>
      <c r="D212" s="16"/>
      <c r="E212" s="26">
        <f>E210</f>
        <v>16540</v>
      </c>
      <c r="F212" s="26">
        <f t="shared" ref="F212:G212" si="85">F210</f>
        <v>-2000</v>
      </c>
      <c r="G212" s="409">
        <f t="shared" si="85"/>
        <v>16540</v>
      </c>
      <c r="H212" s="26">
        <f>H213</f>
        <v>2000</v>
      </c>
      <c r="I212" s="26">
        <f>G212+H212</f>
        <v>18540</v>
      </c>
    </row>
    <row r="213" spans="1:9" x14ac:dyDescent="0.25">
      <c r="A213" s="496">
        <v>3</v>
      </c>
      <c r="B213" s="497"/>
      <c r="C213" s="498"/>
      <c r="D213" s="5" t="s">
        <v>19</v>
      </c>
      <c r="E213" s="12">
        <f>E214+E215</f>
        <v>16540</v>
      </c>
      <c r="F213" s="12">
        <f t="shared" ref="F213:G213" si="86">F214+F215</f>
        <v>-2000</v>
      </c>
      <c r="G213" s="374">
        <f t="shared" si="86"/>
        <v>16540</v>
      </c>
      <c r="H213" s="12">
        <f>H214+H215</f>
        <v>2000</v>
      </c>
      <c r="I213" s="12">
        <f>G213+H213</f>
        <v>18540</v>
      </c>
    </row>
    <row r="214" spans="1:9" x14ac:dyDescent="0.25">
      <c r="A214" s="502">
        <v>32</v>
      </c>
      <c r="B214" s="503"/>
      <c r="C214" s="504"/>
      <c r="D214" s="5" t="s">
        <v>35</v>
      </c>
      <c r="E214" s="19">
        <v>14140</v>
      </c>
      <c r="F214" s="19">
        <f>-2000</f>
        <v>-2000</v>
      </c>
      <c r="G214" s="405">
        <v>14140</v>
      </c>
      <c r="H214" s="19">
        <v>2000</v>
      </c>
      <c r="I214" s="12">
        <f t="shared" ref="I214:I215" si="87">G214+H214</f>
        <v>16140</v>
      </c>
    </row>
    <row r="215" spans="1:9" ht="30" customHeight="1" x14ac:dyDescent="0.25">
      <c r="A215" s="499">
        <v>36</v>
      </c>
      <c r="B215" s="500"/>
      <c r="C215" s="501"/>
      <c r="D215" s="11" t="s">
        <v>50</v>
      </c>
      <c r="E215" s="19">
        <v>2400</v>
      </c>
      <c r="F215" s="19"/>
      <c r="G215" s="405">
        <f>E215+F215</f>
        <v>2400</v>
      </c>
      <c r="H215" s="19"/>
      <c r="I215" s="12">
        <f t="shared" si="87"/>
        <v>2400</v>
      </c>
    </row>
    <row r="216" spans="1:9" ht="29.25" customHeight="1" x14ac:dyDescent="0.25">
      <c r="A216" s="518" t="s">
        <v>648</v>
      </c>
      <c r="B216" s="519"/>
      <c r="C216" s="519"/>
      <c r="D216" s="520"/>
      <c r="E216" s="28">
        <f>E219</f>
        <v>9600</v>
      </c>
      <c r="F216" s="28">
        <f t="shared" ref="F216:I216" si="88">F219</f>
        <v>0</v>
      </c>
      <c r="G216" s="401">
        <f t="shared" si="88"/>
        <v>9600</v>
      </c>
      <c r="H216" s="401">
        <f t="shared" si="88"/>
        <v>-500</v>
      </c>
      <c r="I216" s="36">
        <f t="shared" si="88"/>
        <v>9100</v>
      </c>
    </row>
    <row r="217" spans="1:9" x14ac:dyDescent="0.25">
      <c r="A217" s="185" t="s">
        <v>455</v>
      </c>
      <c r="B217" s="182"/>
      <c r="C217" s="182"/>
      <c r="D217" s="183"/>
      <c r="E217" s="184"/>
      <c r="F217" s="184"/>
      <c r="G217" s="413"/>
      <c r="H217" s="428"/>
      <c r="I217" s="428"/>
    </row>
    <row r="218" spans="1:9" x14ac:dyDescent="0.25">
      <c r="A218" s="16" t="s">
        <v>69</v>
      </c>
      <c r="B218" s="16"/>
      <c r="C218" s="16"/>
      <c r="D218" s="16"/>
      <c r="E218" s="26">
        <f>E216</f>
        <v>9600</v>
      </c>
      <c r="F218" s="26">
        <f t="shared" ref="F218:G218" si="89">F216</f>
        <v>0</v>
      </c>
      <c r="G218" s="409">
        <f t="shared" si="89"/>
        <v>9600</v>
      </c>
      <c r="H218" s="26">
        <v>-500</v>
      </c>
      <c r="I218" s="26">
        <f>G218+H218</f>
        <v>9100</v>
      </c>
    </row>
    <row r="219" spans="1:9" x14ac:dyDescent="0.25">
      <c r="A219" s="496">
        <v>3</v>
      </c>
      <c r="B219" s="497"/>
      <c r="C219" s="498"/>
      <c r="D219" s="5" t="s">
        <v>19</v>
      </c>
      <c r="E219" s="12">
        <f>E220</f>
        <v>9600</v>
      </c>
      <c r="F219" s="12">
        <f t="shared" ref="F219:G219" si="90">F220</f>
        <v>0</v>
      </c>
      <c r="G219" s="374">
        <f t="shared" si="90"/>
        <v>9600</v>
      </c>
      <c r="H219" s="12">
        <f>H220</f>
        <v>-500</v>
      </c>
      <c r="I219" s="12">
        <f>G219+H219</f>
        <v>9100</v>
      </c>
    </row>
    <row r="220" spans="1:9" x14ac:dyDescent="0.25">
      <c r="A220" s="502">
        <v>32</v>
      </c>
      <c r="B220" s="503"/>
      <c r="C220" s="504"/>
      <c r="D220" s="5" t="s">
        <v>35</v>
      </c>
      <c r="E220" s="19">
        <v>9600</v>
      </c>
      <c r="F220" s="19"/>
      <c r="G220" s="405">
        <f>E220+F220</f>
        <v>9600</v>
      </c>
      <c r="H220" s="19">
        <v>-500</v>
      </c>
      <c r="I220" s="12">
        <f>G220+H220</f>
        <v>9100</v>
      </c>
    </row>
    <row r="221" spans="1:9" ht="30.75" customHeight="1" x14ac:dyDescent="0.25">
      <c r="A221" s="518" t="s">
        <v>649</v>
      </c>
      <c r="B221" s="519"/>
      <c r="C221" s="519"/>
      <c r="D221" s="520"/>
      <c r="E221" s="28">
        <f t="shared" ref="E221:I221" si="91">E225+E227</f>
        <v>1100</v>
      </c>
      <c r="F221" s="28">
        <f t="shared" si="91"/>
        <v>1000</v>
      </c>
      <c r="G221" s="401">
        <f t="shared" si="91"/>
        <v>2100</v>
      </c>
      <c r="H221" s="401">
        <f t="shared" si="91"/>
        <v>-1200</v>
      </c>
      <c r="I221" s="36">
        <f t="shared" si="91"/>
        <v>900</v>
      </c>
    </row>
    <row r="222" spans="1:9" x14ac:dyDescent="0.25">
      <c r="A222" s="185" t="s">
        <v>456</v>
      </c>
      <c r="B222" s="182"/>
      <c r="C222" s="182"/>
      <c r="D222" s="183"/>
      <c r="E222" s="184"/>
      <c r="F222" s="184"/>
      <c r="G222" s="413"/>
      <c r="H222" s="428"/>
      <c r="I222" s="428"/>
    </row>
    <row r="223" spans="1:9" ht="14.25" customHeight="1" x14ac:dyDescent="0.25">
      <c r="A223" s="16" t="s">
        <v>69</v>
      </c>
      <c r="B223" s="16"/>
      <c r="C223" s="16"/>
      <c r="D223" s="16"/>
      <c r="E223" s="26">
        <f>E221</f>
        <v>1100</v>
      </c>
      <c r="F223" s="26">
        <v>1000</v>
      </c>
      <c r="G223" s="409">
        <f>E223+F223</f>
        <v>2100</v>
      </c>
      <c r="H223" s="26">
        <v>-1200</v>
      </c>
      <c r="I223" s="26">
        <f>G223+H223</f>
        <v>900</v>
      </c>
    </row>
    <row r="224" spans="1:9" hidden="1" x14ac:dyDescent="0.25">
      <c r="A224" s="16" t="s">
        <v>77</v>
      </c>
      <c r="B224" s="16"/>
      <c r="C224" s="16"/>
      <c r="D224" s="16"/>
      <c r="E224" s="26"/>
      <c r="F224" s="26"/>
      <c r="G224" s="409">
        <f>E224+F224</f>
        <v>0</v>
      </c>
      <c r="H224" s="26"/>
      <c r="I224" s="26">
        <f>G224+H224</f>
        <v>0</v>
      </c>
    </row>
    <row r="225" spans="1:9" x14ac:dyDescent="0.25">
      <c r="A225" s="496">
        <v>3</v>
      </c>
      <c r="B225" s="497"/>
      <c r="C225" s="498"/>
      <c r="D225" s="11" t="s">
        <v>19</v>
      </c>
      <c r="E225" s="12">
        <f>E226</f>
        <v>100</v>
      </c>
      <c r="F225" s="12"/>
      <c r="G225" s="374">
        <f>E225+F225</f>
        <v>100</v>
      </c>
      <c r="H225" s="12">
        <f>H226</f>
        <v>-100</v>
      </c>
      <c r="I225" s="12">
        <f>G225+H225</f>
        <v>0</v>
      </c>
    </row>
    <row r="226" spans="1:9" x14ac:dyDescent="0.25">
      <c r="A226" s="502">
        <v>32</v>
      </c>
      <c r="B226" s="503"/>
      <c r="C226" s="504"/>
      <c r="D226" s="5" t="s">
        <v>35</v>
      </c>
      <c r="E226" s="19">
        <v>100</v>
      </c>
      <c r="F226" s="19"/>
      <c r="G226" s="374">
        <f>E226+F226</f>
        <v>100</v>
      </c>
      <c r="H226" s="12">
        <v>-100</v>
      </c>
      <c r="I226" s="12">
        <f t="shared" ref="I226:I228" si="92">G226+H226</f>
        <v>0</v>
      </c>
    </row>
    <row r="227" spans="1:9" ht="30" customHeight="1" x14ac:dyDescent="0.25">
      <c r="A227" s="496">
        <v>4</v>
      </c>
      <c r="B227" s="497"/>
      <c r="C227" s="498"/>
      <c r="D227" s="11" t="s">
        <v>5</v>
      </c>
      <c r="E227" s="12">
        <f>E228</f>
        <v>1000</v>
      </c>
      <c r="F227" s="12">
        <f t="shared" ref="F227:G227" si="93">F228</f>
        <v>1000</v>
      </c>
      <c r="G227" s="374">
        <f t="shared" si="93"/>
        <v>2000</v>
      </c>
      <c r="H227" s="12">
        <f>H228</f>
        <v>-1100</v>
      </c>
      <c r="I227" s="12">
        <f t="shared" si="92"/>
        <v>900</v>
      </c>
    </row>
    <row r="228" spans="1:9" ht="30" customHeight="1" x14ac:dyDescent="0.25">
      <c r="A228" s="502">
        <v>42</v>
      </c>
      <c r="B228" s="503"/>
      <c r="C228" s="504"/>
      <c r="D228" s="11" t="s">
        <v>114</v>
      </c>
      <c r="E228" s="19">
        <v>1000</v>
      </c>
      <c r="F228" s="19">
        <v>1000</v>
      </c>
      <c r="G228" s="405">
        <f>E228+F228</f>
        <v>2000</v>
      </c>
      <c r="H228" s="19">
        <f>-1000-100</f>
        <v>-1100</v>
      </c>
      <c r="I228" s="12">
        <f t="shared" si="92"/>
        <v>900</v>
      </c>
    </row>
    <row r="229" spans="1:9" x14ac:dyDescent="0.25">
      <c r="A229" s="39" t="s">
        <v>431</v>
      </c>
      <c r="B229" s="39"/>
      <c r="C229" s="39"/>
      <c r="D229" s="39"/>
      <c r="E229" s="45">
        <f t="shared" ref="E229:I229" si="94">E230</f>
        <v>14600</v>
      </c>
      <c r="F229" s="45">
        <f t="shared" si="94"/>
        <v>2200</v>
      </c>
      <c r="G229" s="45">
        <f t="shared" si="94"/>
        <v>16800</v>
      </c>
      <c r="H229" s="45">
        <f t="shared" si="94"/>
        <v>-1300</v>
      </c>
      <c r="I229" s="42">
        <f t="shared" si="94"/>
        <v>15500</v>
      </c>
    </row>
    <row r="230" spans="1:9" x14ac:dyDescent="0.25">
      <c r="A230" s="491" t="s">
        <v>650</v>
      </c>
      <c r="B230" s="492"/>
      <c r="C230" s="492"/>
      <c r="D230" s="493"/>
      <c r="E230" s="33">
        <f t="shared" ref="E230:I230" si="95">E234</f>
        <v>14600</v>
      </c>
      <c r="F230" s="33">
        <f t="shared" si="95"/>
        <v>2200</v>
      </c>
      <c r="G230" s="440">
        <f t="shared" si="95"/>
        <v>16800</v>
      </c>
      <c r="H230" s="440">
        <f t="shared" si="95"/>
        <v>-1300</v>
      </c>
      <c r="I230" s="441">
        <f t="shared" si="95"/>
        <v>15500</v>
      </c>
    </row>
    <row r="231" spans="1:9" x14ac:dyDescent="0.25">
      <c r="A231" s="573" t="s">
        <v>457</v>
      </c>
      <c r="B231" s="574"/>
      <c r="C231" s="574"/>
      <c r="D231" s="574"/>
      <c r="E231" s="574"/>
      <c r="F231" s="574"/>
      <c r="G231" s="574"/>
      <c r="H231" s="574"/>
      <c r="I231" s="575"/>
    </row>
    <row r="232" spans="1:9" x14ac:dyDescent="0.25">
      <c r="A232" s="16" t="s">
        <v>837</v>
      </c>
      <c r="B232" s="16"/>
      <c r="C232" s="16"/>
      <c r="D232" s="16"/>
      <c r="E232" s="436"/>
      <c r="F232" s="436"/>
      <c r="G232" s="437">
        <v>1000</v>
      </c>
      <c r="H232" s="437"/>
      <c r="I232" s="437">
        <f>G232+H232</f>
        <v>1000</v>
      </c>
    </row>
    <row r="233" spans="1:9" x14ac:dyDescent="0.25">
      <c r="A233" s="15" t="s">
        <v>69</v>
      </c>
      <c r="B233" s="15"/>
      <c r="C233" s="15"/>
      <c r="D233" s="15"/>
      <c r="E233" s="26">
        <f>E230</f>
        <v>14600</v>
      </c>
      <c r="F233" s="26">
        <f>F230</f>
        <v>2200</v>
      </c>
      <c r="G233" s="409">
        <v>15800</v>
      </c>
      <c r="H233" s="26">
        <v>-1300</v>
      </c>
      <c r="I233" s="437">
        <f>G233+H233</f>
        <v>14500</v>
      </c>
    </row>
    <row r="234" spans="1:9" x14ac:dyDescent="0.25">
      <c r="A234" s="496">
        <v>3</v>
      </c>
      <c r="B234" s="497"/>
      <c r="C234" s="498"/>
      <c r="D234" s="11" t="s">
        <v>19</v>
      </c>
      <c r="E234" s="12">
        <f>E235+E236</f>
        <v>14600</v>
      </c>
      <c r="F234" s="12">
        <f t="shared" ref="F234:G234" si="96">F235+F236</f>
        <v>2200</v>
      </c>
      <c r="G234" s="374">
        <f t="shared" si="96"/>
        <v>16800</v>
      </c>
      <c r="H234" s="12">
        <f>H235</f>
        <v>-1300</v>
      </c>
      <c r="I234" s="12">
        <f>G234+H234</f>
        <v>15500</v>
      </c>
    </row>
    <row r="235" spans="1:9" x14ac:dyDescent="0.25">
      <c r="A235" s="502">
        <v>32</v>
      </c>
      <c r="B235" s="503"/>
      <c r="C235" s="504"/>
      <c r="D235" s="11" t="s">
        <v>35</v>
      </c>
      <c r="E235" s="19">
        <v>14300</v>
      </c>
      <c r="F235" s="19">
        <f>2200</f>
        <v>2200</v>
      </c>
      <c r="G235" s="405">
        <f>E235+F235</f>
        <v>16500</v>
      </c>
      <c r="H235" s="19">
        <f>-1500-300+500</f>
        <v>-1300</v>
      </c>
      <c r="I235" s="12">
        <f t="shared" ref="I235:I236" si="97">G235+H235</f>
        <v>15200</v>
      </c>
    </row>
    <row r="236" spans="1:9" x14ac:dyDescent="0.25">
      <c r="A236" s="502">
        <v>35</v>
      </c>
      <c r="B236" s="503"/>
      <c r="C236" s="504"/>
      <c r="D236" s="11" t="s">
        <v>49</v>
      </c>
      <c r="E236" s="19">
        <v>300</v>
      </c>
      <c r="F236" s="19"/>
      <c r="G236" s="405">
        <f>E236+F236</f>
        <v>300</v>
      </c>
      <c r="H236" s="19"/>
      <c r="I236" s="12">
        <f t="shared" si="97"/>
        <v>300</v>
      </c>
    </row>
    <row r="237" spans="1:9" x14ac:dyDescent="0.25">
      <c r="A237" s="508" t="s">
        <v>432</v>
      </c>
      <c r="B237" s="509"/>
      <c r="C237" s="509"/>
      <c r="D237" s="510"/>
      <c r="E237" s="41">
        <f>E238+E243+E255+E262+E269</f>
        <v>101500</v>
      </c>
      <c r="F237" s="41">
        <f>F238+F243+F255+F262+F269</f>
        <v>15700</v>
      </c>
      <c r="G237" s="407">
        <f>G238+G243+G255+G262+G269</f>
        <v>111700</v>
      </c>
      <c r="H237" s="407">
        <f t="shared" ref="H237:I237" si="98">H238+H243+H255+H262+H269</f>
        <v>-1500</v>
      </c>
      <c r="I237" s="407">
        <f t="shared" si="98"/>
        <v>110200</v>
      </c>
    </row>
    <row r="238" spans="1:9" hidden="1" x14ac:dyDescent="0.25">
      <c r="A238" s="537" t="s">
        <v>651</v>
      </c>
      <c r="B238" s="538"/>
      <c r="C238" s="538"/>
      <c r="D238" s="539"/>
      <c r="E238" s="28">
        <f>E241</f>
        <v>35000</v>
      </c>
      <c r="F238" s="28">
        <f>F241</f>
        <v>-35000</v>
      </c>
      <c r="G238" s="396">
        <f>E238+F238</f>
        <v>0</v>
      </c>
      <c r="H238" s="28"/>
      <c r="I238" s="28"/>
    </row>
    <row r="239" spans="1:9" hidden="1" x14ac:dyDescent="0.25">
      <c r="A239" s="185" t="s">
        <v>447</v>
      </c>
      <c r="B239" s="182"/>
      <c r="C239" s="182"/>
      <c r="D239" s="183"/>
      <c r="E239" s="184"/>
      <c r="F239" s="184"/>
      <c r="G239" s="413"/>
      <c r="H239" s="428"/>
      <c r="I239" s="428"/>
    </row>
    <row r="240" spans="1:9" hidden="1" x14ac:dyDescent="0.25">
      <c r="A240" s="16" t="s">
        <v>69</v>
      </c>
      <c r="B240" s="16"/>
      <c r="C240" s="16"/>
      <c r="D240" s="16"/>
      <c r="E240" s="162">
        <f>E238</f>
        <v>35000</v>
      </c>
      <c r="F240" s="287">
        <v>-35000</v>
      </c>
      <c r="G240" s="416">
        <f>E240+F240</f>
        <v>0</v>
      </c>
      <c r="H240" s="430"/>
      <c r="I240" s="430"/>
    </row>
    <row r="241" spans="1:9" ht="25.5" hidden="1" x14ac:dyDescent="0.25">
      <c r="A241" s="496">
        <v>4</v>
      </c>
      <c r="B241" s="497"/>
      <c r="C241" s="498"/>
      <c r="D241" s="11" t="s">
        <v>5</v>
      </c>
      <c r="E241" s="160">
        <f>E242</f>
        <v>35000</v>
      </c>
      <c r="F241" s="286">
        <f>F242</f>
        <v>-35000</v>
      </c>
      <c r="G241" s="417">
        <f>E241+F241</f>
        <v>0</v>
      </c>
      <c r="H241" s="431"/>
      <c r="I241" s="431"/>
    </row>
    <row r="242" spans="1:9" ht="25.5" hidden="1" x14ac:dyDescent="0.25">
      <c r="A242" s="502">
        <v>42</v>
      </c>
      <c r="B242" s="503"/>
      <c r="C242" s="504"/>
      <c r="D242" s="11" t="s">
        <v>114</v>
      </c>
      <c r="E242" s="160">
        <v>35000</v>
      </c>
      <c r="F242" s="286">
        <v>-35000</v>
      </c>
      <c r="G242" s="418">
        <f>E242+F242</f>
        <v>0</v>
      </c>
      <c r="H242" s="432"/>
      <c r="I242" s="432"/>
    </row>
    <row r="243" spans="1:9" x14ac:dyDescent="0.25">
      <c r="A243" s="585" t="s">
        <v>652</v>
      </c>
      <c r="B243" s="586"/>
      <c r="C243" s="586"/>
      <c r="D243" s="587"/>
      <c r="E243" s="576">
        <f t="shared" ref="E243:G243" si="99">E249+E251</f>
        <v>13500</v>
      </c>
      <c r="F243" s="576">
        <f t="shared" si="99"/>
        <v>-10000</v>
      </c>
      <c r="G243" s="561">
        <f t="shared" si="99"/>
        <v>3000</v>
      </c>
      <c r="H243" s="561">
        <f t="shared" ref="H243:I243" si="100">H249+H251</f>
        <v>-1000</v>
      </c>
      <c r="I243" s="548">
        <f t="shared" si="100"/>
        <v>2000</v>
      </c>
    </row>
    <row r="244" spans="1:9" ht="9" customHeight="1" x14ac:dyDescent="0.25">
      <c r="A244" s="588"/>
      <c r="B244" s="589"/>
      <c r="C244" s="589"/>
      <c r="D244" s="590"/>
      <c r="E244" s="577"/>
      <c r="F244" s="577"/>
      <c r="G244" s="562"/>
      <c r="H244" s="562"/>
      <c r="I244" s="564"/>
    </row>
    <row r="245" spans="1:9" ht="8.25" customHeight="1" x14ac:dyDescent="0.25">
      <c r="A245" s="591"/>
      <c r="B245" s="592"/>
      <c r="C245" s="592"/>
      <c r="D245" s="593"/>
      <c r="E245" s="578"/>
      <c r="F245" s="578"/>
      <c r="G245" s="563"/>
      <c r="H245" s="563"/>
      <c r="I245" s="549"/>
    </row>
    <row r="246" spans="1:9" x14ac:dyDescent="0.25">
      <c r="A246" s="185" t="s">
        <v>447</v>
      </c>
      <c r="B246" s="182"/>
      <c r="C246" s="182"/>
      <c r="D246" s="183"/>
      <c r="E246" s="184"/>
      <c r="F246" s="184"/>
      <c r="G246" s="413"/>
      <c r="H246" s="428"/>
      <c r="I246" s="428"/>
    </row>
    <row r="247" spans="1:9" x14ac:dyDescent="0.25">
      <c r="A247" s="16" t="s">
        <v>69</v>
      </c>
      <c r="B247" s="16"/>
      <c r="C247" s="16"/>
      <c r="D247" s="16"/>
      <c r="E247" s="26">
        <f>E243-E248</f>
        <v>1500</v>
      </c>
      <c r="F247" s="26">
        <v>-1000</v>
      </c>
      <c r="G247" s="409">
        <v>2200</v>
      </c>
      <c r="H247" s="26">
        <v>-1000</v>
      </c>
      <c r="I247" s="26">
        <f>G247+H247</f>
        <v>1200</v>
      </c>
    </row>
    <row r="248" spans="1:9" x14ac:dyDescent="0.25">
      <c r="A248" s="16" t="s">
        <v>693</v>
      </c>
      <c r="B248" s="16"/>
      <c r="C248" s="16"/>
      <c r="D248" s="16"/>
      <c r="E248" s="26">
        <v>12000</v>
      </c>
      <c r="F248" s="26">
        <v>-9000</v>
      </c>
      <c r="G248" s="409">
        <v>800</v>
      </c>
      <c r="H248" s="26"/>
      <c r="I248" s="26">
        <f>G248+H248</f>
        <v>800</v>
      </c>
    </row>
    <row r="249" spans="1:9" x14ac:dyDescent="0.25">
      <c r="A249" s="496">
        <v>3</v>
      </c>
      <c r="B249" s="497"/>
      <c r="C249" s="498"/>
      <c r="D249" s="11" t="s">
        <v>19</v>
      </c>
      <c r="E249" s="12">
        <f>E250</f>
        <v>1500</v>
      </c>
      <c r="F249" s="12">
        <f t="shared" ref="F249:G249" si="101">F250</f>
        <v>2000</v>
      </c>
      <c r="G249" s="374">
        <f t="shared" si="101"/>
        <v>3000</v>
      </c>
      <c r="H249" s="12">
        <f>H250</f>
        <v>-1000</v>
      </c>
      <c r="I249" s="12">
        <f>G249+H249</f>
        <v>2000</v>
      </c>
    </row>
    <row r="250" spans="1:9" ht="14.25" customHeight="1" x14ac:dyDescent="0.25">
      <c r="A250" s="502">
        <v>32</v>
      </c>
      <c r="B250" s="503"/>
      <c r="C250" s="504"/>
      <c r="D250" s="11" t="s">
        <v>35</v>
      </c>
      <c r="E250" s="19">
        <v>1500</v>
      </c>
      <c r="F250" s="19">
        <v>2000</v>
      </c>
      <c r="G250" s="405">
        <v>3000</v>
      </c>
      <c r="H250" s="19">
        <v>-1000</v>
      </c>
      <c r="I250" s="12">
        <f t="shared" ref="I250:I252" si="102">G250+H250</f>
        <v>2000</v>
      </c>
    </row>
    <row r="251" spans="1:9" ht="0.75" customHeight="1" x14ac:dyDescent="0.25">
      <c r="A251" s="496">
        <v>4</v>
      </c>
      <c r="B251" s="497"/>
      <c r="C251" s="498"/>
      <c r="D251" s="11" t="s">
        <v>5</v>
      </c>
      <c r="E251" s="19">
        <f>E252</f>
        <v>12000</v>
      </c>
      <c r="F251" s="19">
        <f t="shared" ref="F251:G251" si="103">F252</f>
        <v>-12000</v>
      </c>
      <c r="G251" s="405">
        <f t="shared" si="103"/>
        <v>0</v>
      </c>
      <c r="H251" s="19"/>
      <c r="I251" s="12">
        <f t="shared" si="102"/>
        <v>0</v>
      </c>
    </row>
    <row r="252" spans="1:9" ht="25.5" hidden="1" x14ac:dyDescent="0.25">
      <c r="A252" s="157"/>
      <c r="B252" s="158"/>
      <c r="C252" s="158">
        <v>45</v>
      </c>
      <c r="D252" s="159" t="s">
        <v>126</v>
      </c>
      <c r="E252" s="19">
        <v>12000</v>
      </c>
      <c r="F252" s="19">
        <v>-12000</v>
      </c>
      <c r="G252" s="405">
        <f>E252+F252</f>
        <v>0</v>
      </c>
      <c r="H252" s="19"/>
      <c r="I252" s="12">
        <f t="shared" si="102"/>
        <v>0</v>
      </c>
    </row>
    <row r="253" spans="1:9" x14ac:dyDescent="0.25">
      <c r="A253" s="157"/>
      <c r="B253" s="158"/>
      <c r="C253" s="158"/>
      <c r="D253" s="5"/>
      <c r="E253" s="19"/>
      <c r="F253" s="19"/>
      <c r="G253" s="405"/>
      <c r="H253" s="405"/>
      <c r="I253" s="12"/>
    </row>
    <row r="254" spans="1:9" x14ac:dyDescent="0.25">
      <c r="A254" s="157"/>
      <c r="B254" s="158"/>
      <c r="C254" s="158"/>
      <c r="D254" s="5"/>
      <c r="E254" s="19"/>
      <c r="F254" s="19"/>
      <c r="G254" s="405"/>
      <c r="H254" s="405"/>
      <c r="I254" s="12"/>
    </row>
    <row r="255" spans="1:9" ht="29.25" customHeight="1" x14ac:dyDescent="0.25">
      <c r="A255" s="518" t="s">
        <v>653</v>
      </c>
      <c r="B255" s="519"/>
      <c r="C255" s="519"/>
      <c r="D255" s="520"/>
      <c r="E255" s="209">
        <f>E258</f>
        <v>8000</v>
      </c>
      <c r="F255" s="209">
        <f>F258+F260</f>
        <v>11000</v>
      </c>
      <c r="G255" s="414">
        <f>G258+G260</f>
        <v>13000</v>
      </c>
      <c r="H255" s="414">
        <f t="shared" ref="H255:I255" si="104">H258+H260</f>
        <v>200</v>
      </c>
      <c r="I255" s="209">
        <f t="shared" si="104"/>
        <v>13200</v>
      </c>
    </row>
    <row r="256" spans="1:9" x14ac:dyDescent="0.25">
      <c r="A256" s="185" t="s">
        <v>447</v>
      </c>
      <c r="B256" s="182"/>
      <c r="C256" s="182"/>
      <c r="D256" s="183"/>
      <c r="E256" s="184"/>
      <c r="F256" s="184"/>
      <c r="G256" s="413"/>
      <c r="H256" s="428"/>
      <c r="I256" s="428"/>
    </row>
    <row r="257" spans="1:9" x14ac:dyDescent="0.25">
      <c r="A257" s="16" t="s">
        <v>69</v>
      </c>
      <c r="B257" s="16"/>
      <c r="C257" s="16"/>
      <c r="D257" s="16"/>
      <c r="E257" s="26">
        <f>E255</f>
        <v>8000</v>
      </c>
      <c r="F257" s="26">
        <f t="shared" ref="F257:G257" si="105">F255</f>
        <v>11000</v>
      </c>
      <c r="G257" s="409">
        <f t="shared" si="105"/>
        <v>13000</v>
      </c>
      <c r="H257" s="26">
        <v>200</v>
      </c>
      <c r="I257" s="26">
        <f>G257+H257</f>
        <v>13200</v>
      </c>
    </row>
    <row r="258" spans="1:9" x14ac:dyDescent="0.25">
      <c r="A258" s="496">
        <v>3</v>
      </c>
      <c r="B258" s="497"/>
      <c r="C258" s="498"/>
      <c r="D258" s="11" t="s">
        <v>19</v>
      </c>
      <c r="E258" s="19">
        <f>E259</f>
        <v>8000</v>
      </c>
      <c r="F258" s="19">
        <f>F259</f>
        <v>5000</v>
      </c>
      <c r="G258" s="405">
        <f>G259</f>
        <v>13000</v>
      </c>
      <c r="H258" s="19">
        <f>H259</f>
        <v>200</v>
      </c>
      <c r="I258" s="19">
        <f>G258+H258</f>
        <v>13200</v>
      </c>
    </row>
    <row r="259" spans="1:9" x14ac:dyDescent="0.25">
      <c r="A259" s="582">
        <v>32</v>
      </c>
      <c r="B259" s="583"/>
      <c r="C259" s="584"/>
      <c r="D259" s="294" t="s">
        <v>35</v>
      </c>
      <c r="E259" s="19">
        <v>8000</v>
      </c>
      <c r="F259" s="19">
        <f>11000-6000</f>
        <v>5000</v>
      </c>
      <c r="G259" s="405">
        <f>E259+F259</f>
        <v>13000</v>
      </c>
      <c r="H259" s="19">
        <v>200</v>
      </c>
      <c r="I259" s="19">
        <f>G259+H259</f>
        <v>13200</v>
      </c>
    </row>
    <row r="260" spans="1:9" ht="30" customHeight="1" x14ac:dyDescent="0.25">
      <c r="A260" s="540">
        <v>4</v>
      </c>
      <c r="B260" s="541"/>
      <c r="C260" s="542"/>
      <c r="D260" s="294" t="s">
        <v>5</v>
      </c>
      <c r="E260" s="295"/>
      <c r="F260" s="295">
        <f>F261</f>
        <v>6000</v>
      </c>
      <c r="G260" s="419">
        <f>G261</f>
        <v>0</v>
      </c>
      <c r="H260" s="19">
        <f>H261</f>
        <v>0</v>
      </c>
      <c r="I260" s="19">
        <f t="shared" ref="I260:I261" si="106">G260+H260</f>
        <v>0</v>
      </c>
    </row>
    <row r="261" spans="1:9" ht="30" customHeight="1" x14ac:dyDescent="0.25">
      <c r="A261" s="296"/>
      <c r="B261" s="297"/>
      <c r="C261" s="297">
        <v>45</v>
      </c>
      <c r="D261" s="435" t="s">
        <v>126</v>
      </c>
      <c r="E261" s="295"/>
      <c r="F261" s="295">
        <v>6000</v>
      </c>
      <c r="G261" s="419">
        <v>0</v>
      </c>
      <c r="H261" s="19"/>
      <c r="I261" s="19">
        <f t="shared" si="106"/>
        <v>0</v>
      </c>
    </row>
    <row r="262" spans="1:9" ht="30.75" customHeight="1" x14ac:dyDescent="0.25">
      <c r="A262" s="513" t="s">
        <v>654</v>
      </c>
      <c r="B262" s="514"/>
      <c r="C262" s="514"/>
      <c r="D262" s="515"/>
      <c r="E262" s="208">
        <f>E267</f>
        <v>35000</v>
      </c>
      <c r="F262" s="208">
        <f t="shared" ref="F262:I262" si="107">F267</f>
        <v>44700</v>
      </c>
      <c r="G262" s="444">
        <f t="shared" si="107"/>
        <v>79700</v>
      </c>
      <c r="H262" s="444">
        <f t="shared" si="107"/>
        <v>0</v>
      </c>
      <c r="I262" s="209">
        <f t="shared" si="107"/>
        <v>79700</v>
      </c>
    </row>
    <row r="263" spans="1:9" x14ac:dyDescent="0.25">
      <c r="A263" s="185" t="s">
        <v>447</v>
      </c>
      <c r="B263" s="182"/>
      <c r="C263" s="182"/>
      <c r="D263" s="183"/>
      <c r="E263" s="184"/>
      <c r="F263" s="184"/>
      <c r="G263" s="413"/>
      <c r="H263" s="428"/>
      <c r="I263" s="428"/>
    </row>
    <row r="264" spans="1:9" x14ac:dyDescent="0.25">
      <c r="A264" s="16" t="s">
        <v>693</v>
      </c>
      <c r="B264" s="16"/>
      <c r="C264" s="16"/>
      <c r="D264" s="16"/>
      <c r="E264" s="26">
        <v>25000</v>
      </c>
      <c r="F264" s="26">
        <v>28000</v>
      </c>
      <c r="G264" s="409">
        <f>E264+F264</f>
        <v>53000</v>
      </c>
      <c r="H264" s="26"/>
      <c r="I264" s="26">
        <f>G264+H264</f>
        <v>53000</v>
      </c>
    </row>
    <row r="265" spans="1:9" x14ac:dyDescent="0.25">
      <c r="A265" s="16" t="s">
        <v>837</v>
      </c>
      <c r="B265" s="16"/>
      <c r="C265" s="16"/>
      <c r="D265" s="16"/>
      <c r="E265" s="26"/>
      <c r="F265" s="26"/>
      <c r="G265" s="409">
        <v>5703.56</v>
      </c>
      <c r="H265" s="26"/>
      <c r="I265" s="26">
        <f t="shared" ref="I265:I266" si="108">G265+H265</f>
        <v>5703.56</v>
      </c>
    </row>
    <row r="266" spans="1:9" x14ac:dyDescent="0.25">
      <c r="A266" s="15" t="s">
        <v>86</v>
      </c>
      <c r="B266" s="15"/>
      <c r="C266" s="15"/>
      <c r="D266" s="15"/>
      <c r="E266" s="26">
        <f>E262-E264</f>
        <v>10000</v>
      </c>
      <c r="F266" s="26">
        <v>16700</v>
      </c>
      <c r="G266" s="409">
        <v>20996.44</v>
      </c>
      <c r="H266" s="26"/>
      <c r="I266" s="26">
        <f t="shared" si="108"/>
        <v>20996.44</v>
      </c>
    </row>
    <row r="267" spans="1:9" ht="30" customHeight="1" x14ac:dyDescent="0.25">
      <c r="A267" s="496">
        <v>4</v>
      </c>
      <c r="B267" s="497"/>
      <c r="C267" s="498"/>
      <c r="D267" s="11" t="s">
        <v>5</v>
      </c>
      <c r="E267" s="19">
        <f>E268</f>
        <v>35000</v>
      </c>
      <c r="F267" s="19">
        <f t="shared" ref="F267:G267" si="109">F268</f>
        <v>44700</v>
      </c>
      <c r="G267" s="405">
        <f t="shared" si="109"/>
        <v>79700</v>
      </c>
      <c r="H267" s="19"/>
      <c r="I267" s="19">
        <f>G267+H267</f>
        <v>79700</v>
      </c>
    </row>
    <row r="268" spans="1:9" ht="30" customHeight="1" x14ac:dyDescent="0.25">
      <c r="A268" s="502">
        <v>45</v>
      </c>
      <c r="B268" s="503"/>
      <c r="C268" s="504"/>
      <c r="D268" s="161" t="s">
        <v>126</v>
      </c>
      <c r="E268" s="19">
        <v>35000</v>
      </c>
      <c r="F268" s="19">
        <v>44700</v>
      </c>
      <c r="G268" s="405">
        <f>E268+F268</f>
        <v>79700</v>
      </c>
      <c r="H268" s="19"/>
      <c r="I268" s="19">
        <f>G268+H268</f>
        <v>79700</v>
      </c>
    </row>
    <row r="269" spans="1:9" ht="29.25" customHeight="1" x14ac:dyDescent="0.25">
      <c r="A269" s="532" t="s">
        <v>655</v>
      </c>
      <c r="B269" s="533"/>
      <c r="C269" s="533"/>
      <c r="D269" s="534"/>
      <c r="E269" s="209">
        <f>E274</f>
        <v>10000</v>
      </c>
      <c r="F269" s="209">
        <f t="shared" ref="F269:I269" si="110">F274</f>
        <v>5000</v>
      </c>
      <c r="G269" s="414">
        <f t="shared" si="110"/>
        <v>16000</v>
      </c>
      <c r="H269" s="414">
        <f t="shared" si="110"/>
        <v>-700</v>
      </c>
      <c r="I269" s="209">
        <f t="shared" si="110"/>
        <v>15300</v>
      </c>
    </row>
    <row r="270" spans="1:9" x14ac:dyDescent="0.25">
      <c r="A270" s="185" t="s">
        <v>447</v>
      </c>
      <c r="B270" s="182"/>
      <c r="C270" s="182"/>
      <c r="D270" s="183"/>
      <c r="E270" s="183"/>
      <c r="F270" s="183"/>
      <c r="G270" s="182"/>
      <c r="H270" s="433"/>
      <c r="I270" s="433"/>
    </row>
    <row r="271" spans="1:9" ht="0.75" hidden="1" customHeight="1" x14ac:dyDescent="0.25">
      <c r="A271" s="16" t="s">
        <v>71</v>
      </c>
      <c r="B271" s="16"/>
      <c r="C271" s="16"/>
      <c r="D271" s="16"/>
      <c r="E271" s="26"/>
      <c r="F271" s="26"/>
      <c r="G271" s="409">
        <f>E271+F271</f>
        <v>0</v>
      </c>
      <c r="H271" s="26"/>
      <c r="I271" s="26"/>
    </row>
    <row r="272" spans="1:9" x14ac:dyDescent="0.25">
      <c r="A272" s="16" t="s">
        <v>837</v>
      </c>
      <c r="B272" s="16"/>
      <c r="C272" s="16"/>
      <c r="D272" s="16"/>
      <c r="E272" s="26"/>
      <c r="F272" s="26"/>
      <c r="G272" s="409">
        <v>3400</v>
      </c>
      <c r="H272" s="26"/>
      <c r="I272" s="26">
        <f>G272+H272</f>
        <v>3400</v>
      </c>
    </row>
    <row r="273" spans="1:9" x14ac:dyDescent="0.25">
      <c r="A273" s="15" t="s">
        <v>86</v>
      </c>
      <c r="B273" s="15"/>
      <c r="C273" s="15"/>
      <c r="D273" s="15"/>
      <c r="E273" s="26">
        <f>E269</f>
        <v>10000</v>
      </c>
      <c r="F273" s="26">
        <v>5000</v>
      </c>
      <c r="G273" s="409">
        <v>12600</v>
      </c>
      <c r="H273" s="26">
        <v>-700</v>
      </c>
      <c r="I273" s="26">
        <f>G273+H273</f>
        <v>11900</v>
      </c>
    </row>
    <row r="274" spans="1:9" ht="29.25" customHeight="1" x14ac:dyDescent="0.25">
      <c r="A274" s="496">
        <v>4</v>
      </c>
      <c r="B274" s="497"/>
      <c r="C274" s="498"/>
      <c r="D274" s="11" t="s">
        <v>5</v>
      </c>
      <c r="E274" s="19">
        <f>E275</f>
        <v>10000</v>
      </c>
      <c r="F274" s="19">
        <f t="shared" ref="F274:G274" si="111">F275</f>
        <v>5000</v>
      </c>
      <c r="G274" s="405">
        <f t="shared" si="111"/>
        <v>16000</v>
      </c>
      <c r="H274" s="19">
        <f>H275</f>
        <v>-700</v>
      </c>
      <c r="I274" s="19">
        <f>G274+H274</f>
        <v>15300</v>
      </c>
    </row>
    <row r="275" spans="1:9" ht="30" customHeight="1" x14ac:dyDescent="0.25">
      <c r="A275" s="502">
        <v>45</v>
      </c>
      <c r="B275" s="503"/>
      <c r="C275" s="504"/>
      <c r="D275" s="161" t="s">
        <v>126</v>
      </c>
      <c r="E275" s="19">
        <v>10000</v>
      </c>
      <c r="F275" s="19">
        <v>5000</v>
      </c>
      <c r="G275" s="405">
        <v>16000</v>
      </c>
      <c r="H275" s="19">
        <v>-700</v>
      </c>
      <c r="I275" s="19">
        <f>G275+H275</f>
        <v>15300</v>
      </c>
    </row>
    <row r="276" spans="1:9" x14ac:dyDescent="0.25">
      <c r="A276" s="579" t="s">
        <v>433</v>
      </c>
      <c r="B276" s="580"/>
      <c r="C276" s="580"/>
      <c r="D276" s="581"/>
      <c r="E276" s="47">
        <f t="shared" ref="E276:I276" si="112">E277</f>
        <v>112000</v>
      </c>
      <c r="F276" s="47">
        <f t="shared" si="112"/>
        <v>-4000</v>
      </c>
      <c r="G276" s="420">
        <f t="shared" si="112"/>
        <v>108000</v>
      </c>
      <c r="H276" s="420">
        <f t="shared" si="112"/>
        <v>-100300</v>
      </c>
      <c r="I276" s="47">
        <f t="shared" si="112"/>
        <v>7700</v>
      </c>
    </row>
    <row r="277" spans="1:9" ht="30" customHeight="1" x14ac:dyDescent="0.25">
      <c r="A277" s="518" t="s">
        <v>656</v>
      </c>
      <c r="B277" s="519"/>
      <c r="C277" s="519"/>
      <c r="D277" s="520"/>
      <c r="E277" s="30">
        <f>E281+E283</f>
        <v>112000</v>
      </c>
      <c r="F277" s="30">
        <f t="shared" ref="F277:I277" si="113">F281+F283</f>
        <v>-4000</v>
      </c>
      <c r="G277" s="414">
        <f t="shared" si="113"/>
        <v>108000</v>
      </c>
      <c r="H277" s="414">
        <f>H281+H283</f>
        <v>-100300</v>
      </c>
      <c r="I277" s="209">
        <f t="shared" si="113"/>
        <v>7700</v>
      </c>
    </row>
    <row r="278" spans="1:9" x14ac:dyDescent="0.25">
      <c r="A278" s="185" t="s">
        <v>447</v>
      </c>
      <c r="B278" s="182"/>
      <c r="C278" s="182"/>
      <c r="D278" s="183"/>
      <c r="E278" s="184"/>
      <c r="F278" s="184"/>
      <c r="G278" s="413"/>
      <c r="H278" s="428"/>
      <c r="I278" s="428"/>
    </row>
    <row r="279" spans="1:9" x14ac:dyDescent="0.25">
      <c r="A279" s="16" t="s">
        <v>69</v>
      </c>
      <c r="B279" s="16"/>
      <c r="C279" s="16"/>
      <c r="D279" s="14"/>
      <c r="E279" s="26">
        <f>E277-E280</f>
        <v>12000</v>
      </c>
      <c r="F279" s="26">
        <v>-4000</v>
      </c>
      <c r="G279" s="409">
        <f>E279+F279</f>
        <v>8000</v>
      </c>
      <c r="H279" s="26">
        <v>-5300</v>
      </c>
      <c r="I279" s="26">
        <f>G279+H279</f>
        <v>2700</v>
      </c>
    </row>
    <row r="280" spans="1:9" x14ac:dyDescent="0.25">
      <c r="A280" s="16" t="s">
        <v>693</v>
      </c>
      <c r="B280" s="16"/>
      <c r="C280" s="16"/>
      <c r="D280" s="16"/>
      <c r="E280" s="26">
        <v>100000</v>
      </c>
      <c r="F280" s="26"/>
      <c r="G280" s="409">
        <f>E280+F280</f>
        <v>100000</v>
      </c>
      <c r="H280" s="26">
        <v>-95000</v>
      </c>
      <c r="I280" s="26">
        <f>G280+H280</f>
        <v>5000</v>
      </c>
    </row>
    <row r="281" spans="1:9" ht="30" customHeight="1" x14ac:dyDescent="0.25">
      <c r="A281" s="496">
        <v>4</v>
      </c>
      <c r="B281" s="497"/>
      <c r="C281" s="498"/>
      <c r="D281" s="11" t="s">
        <v>5</v>
      </c>
      <c r="E281" s="19">
        <f>E282</f>
        <v>100000</v>
      </c>
      <c r="F281" s="19">
        <f t="shared" ref="F281:G281" si="114">F282</f>
        <v>0</v>
      </c>
      <c r="G281" s="405">
        <f t="shared" si="114"/>
        <v>100000</v>
      </c>
      <c r="H281" s="19">
        <f>H282</f>
        <v>-95000</v>
      </c>
      <c r="I281" s="19">
        <f>G281+H281</f>
        <v>5000</v>
      </c>
    </row>
    <row r="282" spans="1:9" ht="29.25" customHeight="1" x14ac:dyDescent="0.25">
      <c r="A282" s="502">
        <v>42</v>
      </c>
      <c r="B282" s="503"/>
      <c r="C282" s="504"/>
      <c r="D282" s="11" t="s">
        <v>114</v>
      </c>
      <c r="E282" s="19">
        <v>100000</v>
      </c>
      <c r="F282" s="19"/>
      <c r="G282" s="405">
        <f>E282+F282</f>
        <v>100000</v>
      </c>
      <c r="H282" s="19">
        <v>-95000</v>
      </c>
      <c r="I282" s="19">
        <f>G282+H282</f>
        <v>5000</v>
      </c>
    </row>
    <row r="283" spans="1:9" x14ac:dyDescent="0.25">
      <c r="A283" s="496">
        <v>3</v>
      </c>
      <c r="B283" s="497"/>
      <c r="C283" s="498"/>
      <c r="D283" s="11" t="s">
        <v>19</v>
      </c>
      <c r="E283" s="19">
        <f>E284+E285</f>
        <v>12000</v>
      </c>
      <c r="F283" s="19">
        <f>F284+F285</f>
        <v>-4000</v>
      </c>
      <c r="G283" s="405">
        <f>G284+G285</f>
        <v>8000</v>
      </c>
      <c r="H283" s="19">
        <f>H284+H285</f>
        <v>-5300</v>
      </c>
      <c r="I283" s="19">
        <f>G283+H283</f>
        <v>2700</v>
      </c>
    </row>
    <row r="284" spans="1:9" x14ac:dyDescent="0.25">
      <c r="A284" s="502">
        <v>32</v>
      </c>
      <c r="B284" s="503"/>
      <c r="C284" s="504"/>
      <c r="D284" s="11" t="s">
        <v>35</v>
      </c>
      <c r="E284" s="19">
        <v>10000</v>
      </c>
      <c r="F284" s="19">
        <v>-4000</v>
      </c>
      <c r="G284" s="405">
        <f>E284+F284</f>
        <v>6000</v>
      </c>
      <c r="H284" s="19">
        <f>-2000-2000</f>
        <v>-4000</v>
      </c>
      <c r="I284" s="19">
        <f t="shared" ref="I284:I285" si="115">G284+H284</f>
        <v>2000</v>
      </c>
    </row>
    <row r="285" spans="1:9" x14ac:dyDescent="0.25">
      <c r="A285" s="169"/>
      <c r="B285" s="170"/>
      <c r="C285" s="171">
        <v>38</v>
      </c>
      <c r="D285" s="11" t="s">
        <v>52</v>
      </c>
      <c r="E285" s="19">
        <v>2000</v>
      </c>
      <c r="F285" s="19"/>
      <c r="G285" s="405">
        <f>E285+F285</f>
        <v>2000</v>
      </c>
      <c r="H285" s="19">
        <f>-1300</f>
        <v>-1300</v>
      </c>
      <c r="I285" s="19">
        <f t="shared" si="115"/>
        <v>700</v>
      </c>
    </row>
    <row r="286" spans="1:9" x14ac:dyDescent="0.25">
      <c r="A286" s="53" t="s">
        <v>91</v>
      </c>
      <c r="B286" s="53"/>
      <c r="C286" s="53"/>
      <c r="D286" s="53"/>
      <c r="E286" s="54">
        <f t="shared" ref="E286:F286" si="116">E287+E301+E318+E325</f>
        <v>291881</v>
      </c>
      <c r="F286" s="54">
        <f t="shared" si="116"/>
        <v>27320</v>
      </c>
      <c r="G286" s="394">
        <f>G287+G301+G318+G325</f>
        <v>318651</v>
      </c>
      <c r="H286" s="394">
        <f>H287+H301+H318+H325</f>
        <v>4969</v>
      </c>
      <c r="I286" s="394">
        <f t="shared" ref="I286" si="117">I287+I301+I318+I325</f>
        <v>323620</v>
      </c>
    </row>
    <row r="287" spans="1:9" x14ac:dyDescent="0.25">
      <c r="A287" s="39" t="s">
        <v>434</v>
      </c>
      <c r="B287" s="39"/>
      <c r="C287" s="39"/>
      <c r="D287" s="39"/>
      <c r="E287" s="42">
        <f t="shared" ref="E287:F287" si="118">E288</f>
        <v>268381</v>
      </c>
      <c r="F287" s="42">
        <f t="shared" si="118"/>
        <v>14820</v>
      </c>
      <c r="G287" s="45">
        <f>G288</f>
        <v>283201</v>
      </c>
      <c r="H287" s="45">
        <f t="shared" ref="H287:I287" si="119">H288</f>
        <v>4769</v>
      </c>
      <c r="I287" s="45">
        <f t="shared" si="119"/>
        <v>287970</v>
      </c>
    </row>
    <row r="288" spans="1:9" x14ac:dyDescent="0.25">
      <c r="A288" s="491" t="s">
        <v>657</v>
      </c>
      <c r="B288" s="492"/>
      <c r="C288" s="492"/>
      <c r="D288" s="493"/>
      <c r="E288" s="27">
        <f t="shared" ref="E288:F288" si="120">E293+E297</f>
        <v>268381</v>
      </c>
      <c r="F288" s="27">
        <f t="shared" si="120"/>
        <v>14820</v>
      </c>
      <c r="G288" s="442">
        <f>G293+G297</f>
        <v>283201</v>
      </c>
      <c r="H288" s="442">
        <f>H293+H297</f>
        <v>4769</v>
      </c>
      <c r="I288" s="443">
        <f>I293+I297</f>
        <v>287970</v>
      </c>
    </row>
    <row r="289" spans="1:9" x14ac:dyDescent="0.25">
      <c r="A289" s="49" t="s">
        <v>93</v>
      </c>
      <c r="B289" s="50"/>
      <c r="C289" s="50"/>
      <c r="D289" s="50"/>
      <c r="E289" s="51"/>
      <c r="F289" s="51"/>
      <c r="G289" s="421"/>
      <c r="H289" s="51"/>
      <c r="I289" s="51"/>
    </row>
    <row r="290" spans="1:9" x14ac:dyDescent="0.25">
      <c r="A290" s="185" t="s">
        <v>458</v>
      </c>
      <c r="B290" s="182"/>
      <c r="C290" s="182"/>
      <c r="D290" s="183"/>
      <c r="E290" s="184"/>
      <c r="F290" s="184"/>
      <c r="G290" s="413"/>
      <c r="H290" s="428"/>
      <c r="I290" s="428"/>
    </row>
    <row r="291" spans="1:9" x14ac:dyDescent="0.25">
      <c r="A291" s="16" t="s">
        <v>693</v>
      </c>
      <c r="B291" s="16"/>
      <c r="C291" s="16"/>
      <c r="D291" s="16"/>
      <c r="E291" s="26">
        <f>486+80000</f>
        <v>80486</v>
      </c>
      <c r="F291" s="26">
        <f>3520+2300</f>
        <v>5820</v>
      </c>
      <c r="G291" s="409">
        <f>E291+F291</f>
        <v>86306</v>
      </c>
      <c r="H291" s="26">
        <f>600-6</f>
        <v>594</v>
      </c>
      <c r="I291" s="26">
        <f>G291+H291</f>
        <v>86900</v>
      </c>
    </row>
    <row r="292" spans="1:9" x14ac:dyDescent="0.25">
      <c r="A292" s="15" t="s">
        <v>86</v>
      </c>
      <c r="B292" s="15"/>
      <c r="C292" s="15"/>
      <c r="D292" s="15"/>
      <c r="E292" s="26">
        <f>E288-E291</f>
        <v>187895</v>
      </c>
      <c r="F292" s="26">
        <f>11300-2300</f>
        <v>9000</v>
      </c>
      <c r="G292" s="409">
        <f>E292+F292</f>
        <v>196895</v>
      </c>
      <c r="H292" s="26">
        <f>4175</f>
        <v>4175</v>
      </c>
      <c r="I292" s="26">
        <v>201070</v>
      </c>
    </row>
    <row r="293" spans="1:9" x14ac:dyDescent="0.25">
      <c r="A293" s="496">
        <v>3</v>
      </c>
      <c r="B293" s="497"/>
      <c r="C293" s="498"/>
      <c r="D293" s="11" t="s">
        <v>19</v>
      </c>
      <c r="E293" s="12">
        <f>E294+E295+E296</f>
        <v>266281</v>
      </c>
      <c r="F293" s="12">
        <f t="shared" ref="F293" si="121">F294+F295+F296</f>
        <v>11120</v>
      </c>
      <c r="G293" s="374">
        <f>G294+G295+G296</f>
        <v>277401</v>
      </c>
      <c r="H293" s="12">
        <f>H294+H295+H296</f>
        <v>4769</v>
      </c>
      <c r="I293" s="12">
        <f>G293+H293</f>
        <v>282170</v>
      </c>
    </row>
    <row r="294" spans="1:9" x14ac:dyDescent="0.25">
      <c r="A294" s="502">
        <v>31</v>
      </c>
      <c r="B294" s="503"/>
      <c r="C294" s="504"/>
      <c r="D294" s="11" t="s">
        <v>22</v>
      </c>
      <c r="E294" s="19">
        <v>210843</v>
      </c>
      <c r="F294" s="19">
        <v>11400</v>
      </c>
      <c r="G294" s="405">
        <f>E294+F294</f>
        <v>222243</v>
      </c>
      <c r="H294" s="19">
        <f>2100+619+488</f>
        <v>3207</v>
      </c>
      <c r="I294" s="12">
        <f t="shared" ref="I294:I298" si="122">G294+H294</f>
        <v>225450</v>
      </c>
    </row>
    <row r="295" spans="1:9" x14ac:dyDescent="0.25">
      <c r="A295" s="502">
        <v>32</v>
      </c>
      <c r="B295" s="503"/>
      <c r="C295" s="504"/>
      <c r="D295" s="11" t="s">
        <v>35</v>
      </c>
      <c r="E295" s="19">
        <v>54670</v>
      </c>
      <c r="F295" s="19">
        <v>-520</v>
      </c>
      <c r="G295" s="405">
        <f>E295+F295</f>
        <v>54150</v>
      </c>
      <c r="H295" s="19">
        <f>-150-2610+100+350+4000-60+330+6-200-156</f>
        <v>1610</v>
      </c>
      <c r="I295" s="12">
        <f t="shared" si="122"/>
        <v>55760</v>
      </c>
    </row>
    <row r="296" spans="1:9" x14ac:dyDescent="0.25">
      <c r="A296" s="502">
        <v>34</v>
      </c>
      <c r="B296" s="503"/>
      <c r="C296" s="504"/>
      <c r="D296" s="11" t="s">
        <v>127</v>
      </c>
      <c r="E296" s="19">
        <v>768</v>
      </c>
      <c r="F296" s="19">
        <v>240</v>
      </c>
      <c r="G296" s="405">
        <f>E296+F296</f>
        <v>1008</v>
      </c>
      <c r="H296" s="19">
        <f>2-50</f>
        <v>-48</v>
      </c>
      <c r="I296" s="12">
        <f t="shared" si="122"/>
        <v>960</v>
      </c>
    </row>
    <row r="297" spans="1:9" ht="29.25" customHeight="1" x14ac:dyDescent="0.25">
      <c r="A297" s="496">
        <v>4</v>
      </c>
      <c r="B297" s="497"/>
      <c r="C297" s="498"/>
      <c r="D297" s="11" t="s">
        <v>5</v>
      </c>
      <c r="E297" s="12">
        <f>E298</f>
        <v>2100</v>
      </c>
      <c r="F297" s="12">
        <f t="shared" ref="F297:G297" si="123">F298</f>
        <v>3700</v>
      </c>
      <c r="G297" s="374">
        <f t="shared" si="123"/>
        <v>5800</v>
      </c>
      <c r="H297" s="12"/>
      <c r="I297" s="12">
        <f t="shared" si="122"/>
        <v>5800</v>
      </c>
    </row>
    <row r="298" spans="1:9" ht="30" customHeight="1" x14ac:dyDescent="0.25">
      <c r="A298" s="502">
        <v>42</v>
      </c>
      <c r="B298" s="503"/>
      <c r="C298" s="504"/>
      <c r="D298" s="11" t="s">
        <v>114</v>
      </c>
      <c r="E298" s="19">
        <v>2100</v>
      </c>
      <c r="F298" s="19">
        <v>3700</v>
      </c>
      <c r="G298" s="405">
        <f>E298+F298</f>
        <v>5800</v>
      </c>
      <c r="H298" s="19"/>
      <c r="I298" s="12">
        <f t="shared" si="122"/>
        <v>5800</v>
      </c>
    </row>
    <row r="299" spans="1:9" ht="15.75" customHeight="1" x14ac:dyDescent="0.25">
      <c r="A299" s="169"/>
      <c r="B299" s="170"/>
      <c r="C299" s="171"/>
      <c r="D299" s="11"/>
      <c r="E299" s="19"/>
      <c r="F299" s="19"/>
      <c r="G299" s="405"/>
      <c r="H299" s="405"/>
      <c r="I299" s="12"/>
    </row>
    <row r="300" spans="1:9" ht="6" customHeight="1" x14ac:dyDescent="0.25">
      <c r="A300" s="169"/>
      <c r="B300" s="170"/>
      <c r="C300" s="171"/>
      <c r="D300" s="11"/>
      <c r="E300" s="19"/>
      <c r="F300" s="19"/>
      <c r="G300" s="405"/>
      <c r="H300" s="405"/>
      <c r="I300" s="12"/>
    </row>
    <row r="301" spans="1:9" x14ac:dyDescent="0.25">
      <c r="A301" s="39" t="s">
        <v>435</v>
      </c>
      <c r="B301" s="39"/>
      <c r="C301" s="39"/>
      <c r="D301" s="39"/>
      <c r="E301" s="42">
        <f>E302+E313</f>
        <v>10000</v>
      </c>
      <c r="F301" s="42">
        <f t="shared" ref="F301:I301" si="124">F302+F313</f>
        <v>14500</v>
      </c>
      <c r="G301" s="45">
        <f t="shared" si="124"/>
        <v>23950</v>
      </c>
      <c r="H301" s="45">
        <f>H302+H313</f>
        <v>200</v>
      </c>
      <c r="I301" s="42">
        <f t="shared" si="124"/>
        <v>24150</v>
      </c>
    </row>
    <row r="302" spans="1:9" x14ac:dyDescent="0.25">
      <c r="A302" s="522" t="s">
        <v>658</v>
      </c>
      <c r="B302" s="523"/>
      <c r="C302" s="523"/>
      <c r="D302" s="523"/>
      <c r="E302" s="611">
        <f t="shared" ref="E302" si="125">E307</f>
        <v>6000</v>
      </c>
      <c r="F302" s="651">
        <f>F307+F311</f>
        <v>14500</v>
      </c>
      <c r="G302" s="569">
        <f>G307+G311</f>
        <v>19950</v>
      </c>
      <c r="H302" s="569">
        <f t="shared" ref="H302:I302" si="126">H307+H311</f>
        <v>500</v>
      </c>
      <c r="I302" s="571">
        <f t="shared" si="126"/>
        <v>20450</v>
      </c>
    </row>
    <row r="303" spans="1:9" x14ac:dyDescent="0.25">
      <c r="A303" s="516" t="s">
        <v>94</v>
      </c>
      <c r="B303" s="517"/>
      <c r="C303" s="517"/>
      <c r="D303" s="521"/>
      <c r="E303" s="612"/>
      <c r="F303" s="652"/>
      <c r="G303" s="570"/>
      <c r="H303" s="570"/>
      <c r="I303" s="572"/>
    </row>
    <row r="304" spans="1:9" x14ac:dyDescent="0.25">
      <c r="A304" s="185" t="s">
        <v>459</v>
      </c>
      <c r="B304" s="182"/>
      <c r="C304" s="182"/>
      <c r="D304" s="183"/>
      <c r="E304" s="184"/>
      <c r="F304" s="184"/>
      <c r="G304" s="413"/>
      <c r="H304" s="428"/>
      <c r="I304" s="428"/>
    </row>
    <row r="305" spans="1:9" x14ac:dyDescent="0.25">
      <c r="A305" s="16" t="s">
        <v>693</v>
      </c>
      <c r="B305" s="16"/>
      <c r="C305" s="16"/>
      <c r="D305" s="16"/>
      <c r="E305" s="276"/>
      <c r="F305" s="277">
        <v>14500</v>
      </c>
      <c r="G305" s="422">
        <f>E305+F305</f>
        <v>14500</v>
      </c>
      <c r="H305" s="434"/>
      <c r="I305" s="434">
        <f>G305+H305</f>
        <v>14500</v>
      </c>
    </row>
    <row r="306" spans="1:9" x14ac:dyDescent="0.25">
      <c r="A306" s="16" t="s">
        <v>86</v>
      </c>
      <c r="B306" s="16"/>
      <c r="C306" s="16"/>
      <c r="D306" s="16"/>
      <c r="E306" s="26">
        <f>E302</f>
        <v>6000</v>
      </c>
      <c r="F306" s="26"/>
      <c r="G306" s="422">
        <v>5450</v>
      </c>
      <c r="H306" s="434">
        <v>500</v>
      </c>
      <c r="I306" s="434">
        <f>G306+H306</f>
        <v>5950</v>
      </c>
    </row>
    <row r="307" spans="1:9" x14ac:dyDescent="0.25">
      <c r="A307" s="496">
        <v>3</v>
      </c>
      <c r="B307" s="497"/>
      <c r="C307" s="498"/>
      <c r="D307" s="11" t="s">
        <v>19</v>
      </c>
      <c r="E307" s="12">
        <f>E309</f>
        <v>6000</v>
      </c>
      <c r="F307" s="12">
        <f>F309+F310</f>
        <v>3200</v>
      </c>
      <c r="G307" s="374">
        <f>G309+G310+G308</f>
        <v>16050</v>
      </c>
      <c r="H307" s="374">
        <f t="shared" ref="H307:I307" si="127">H309+H310+H308</f>
        <v>500</v>
      </c>
      <c r="I307" s="374">
        <f t="shared" si="127"/>
        <v>16550</v>
      </c>
    </row>
    <row r="308" spans="1:9" x14ac:dyDescent="0.25">
      <c r="A308" s="502">
        <v>32</v>
      </c>
      <c r="B308" s="503"/>
      <c r="C308" s="504"/>
      <c r="D308" s="11" t="s">
        <v>35</v>
      </c>
      <c r="E308" s="12"/>
      <c r="F308" s="12"/>
      <c r="G308" s="374">
        <v>8450</v>
      </c>
      <c r="H308" s="12">
        <v>500</v>
      </c>
      <c r="I308" s="12">
        <f t="shared" ref="I308:I312" si="128">G308+H308</f>
        <v>8950</v>
      </c>
    </row>
    <row r="309" spans="1:9" ht="25.5" customHeight="1" x14ac:dyDescent="0.25">
      <c r="A309" s="502">
        <v>36</v>
      </c>
      <c r="B309" s="503"/>
      <c r="C309" s="504"/>
      <c r="D309" s="11" t="s">
        <v>50</v>
      </c>
      <c r="E309" s="19">
        <v>6000</v>
      </c>
      <c r="F309" s="19">
        <v>3100</v>
      </c>
      <c r="G309" s="374">
        <v>7500</v>
      </c>
      <c r="H309" s="12"/>
      <c r="I309" s="12">
        <f t="shared" si="128"/>
        <v>7500</v>
      </c>
    </row>
    <row r="310" spans="1:9" ht="38.25" x14ac:dyDescent="0.25">
      <c r="A310" s="169"/>
      <c r="B310" s="170"/>
      <c r="C310" s="171">
        <v>37</v>
      </c>
      <c r="D310" s="11" t="s">
        <v>51</v>
      </c>
      <c r="E310" s="19"/>
      <c r="F310" s="19">
        <v>100</v>
      </c>
      <c r="G310" s="374">
        <f>E310+F310</f>
        <v>100</v>
      </c>
      <c r="H310" s="12"/>
      <c r="I310" s="12">
        <f t="shared" si="128"/>
        <v>100</v>
      </c>
    </row>
    <row r="311" spans="1:9" ht="24" customHeight="1" x14ac:dyDescent="0.25">
      <c r="A311" s="496">
        <v>4</v>
      </c>
      <c r="B311" s="497"/>
      <c r="C311" s="498"/>
      <c r="D311" s="11" t="s">
        <v>5</v>
      </c>
      <c r="E311" s="19"/>
      <c r="F311" s="19">
        <f>F312</f>
        <v>11300</v>
      </c>
      <c r="G311" s="405">
        <f>G312</f>
        <v>3900</v>
      </c>
      <c r="H311" s="19">
        <f>H312</f>
        <v>0</v>
      </c>
      <c r="I311" s="12">
        <f t="shared" si="128"/>
        <v>3900</v>
      </c>
    </row>
    <row r="312" spans="1:9" ht="30" customHeight="1" x14ac:dyDescent="0.25">
      <c r="A312" s="502">
        <v>42</v>
      </c>
      <c r="B312" s="503"/>
      <c r="C312" s="504"/>
      <c r="D312" s="11" t="s">
        <v>114</v>
      </c>
      <c r="E312" s="19"/>
      <c r="F312" s="19">
        <v>11300</v>
      </c>
      <c r="G312" s="405">
        <v>3900</v>
      </c>
      <c r="H312" s="19"/>
      <c r="I312" s="12">
        <f t="shared" si="128"/>
        <v>3900</v>
      </c>
    </row>
    <row r="313" spans="1:9" ht="30.75" customHeight="1" x14ac:dyDescent="0.25">
      <c r="A313" s="528" t="s">
        <v>659</v>
      </c>
      <c r="B313" s="528"/>
      <c r="C313" s="528"/>
      <c r="D313" s="528"/>
      <c r="E313" s="156">
        <f>E316</f>
        <v>4000</v>
      </c>
      <c r="F313" s="156">
        <f t="shared" ref="F313:I313" si="129">F316</f>
        <v>0</v>
      </c>
      <c r="G313" s="414">
        <f t="shared" si="129"/>
        <v>4000</v>
      </c>
      <c r="H313" s="414">
        <f t="shared" si="129"/>
        <v>-300</v>
      </c>
      <c r="I313" s="209">
        <f t="shared" si="129"/>
        <v>3700</v>
      </c>
    </row>
    <row r="314" spans="1:9" x14ac:dyDescent="0.25">
      <c r="A314" s="185" t="s">
        <v>459</v>
      </c>
      <c r="B314" s="182"/>
      <c r="C314" s="182"/>
      <c r="D314" s="183"/>
      <c r="E314" s="184"/>
      <c r="F314" s="184"/>
      <c r="G314" s="413"/>
      <c r="H314" s="428"/>
      <c r="I314" s="428"/>
    </row>
    <row r="315" spans="1:9" x14ac:dyDescent="0.25">
      <c r="A315" s="16" t="s">
        <v>86</v>
      </c>
      <c r="B315" s="16"/>
      <c r="C315" s="16"/>
      <c r="D315" s="16"/>
      <c r="E315" s="26">
        <f>E313</f>
        <v>4000</v>
      </c>
      <c r="F315" s="26">
        <f t="shared" ref="F315:G315" si="130">F313</f>
        <v>0</v>
      </c>
      <c r="G315" s="409">
        <f t="shared" si="130"/>
        <v>4000</v>
      </c>
      <c r="H315" s="26">
        <v>-300</v>
      </c>
      <c r="I315" s="26">
        <f>G315+H315</f>
        <v>3700</v>
      </c>
    </row>
    <row r="316" spans="1:9" x14ac:dyDescent="0.25">
      <c r="A316" s="496">
        <v>3</v>
      </c>
      <c r="B316" s="497"/>
      <c r="C316" s="498"/>
      <c r="D316" s="11" t="s">
        <v>19</v>
      </c>
      <c r="E316" s="19">
        <f>E317</f>
        <v>4000</v>
      </c>
      <c r="F316" s="19">
        <f t="shared" ref="F316:G316" si="131">F317</f>
        <v>0</v>
      </c>
      <c r="G316" s="405">
        <f t="shared" si="131"/>
        <v>4000</v>
      </c>
      <c r="H316" s="19">
        <f>H317</f>
        <v>-300</v>
      </c>
      <c r="I316" s="19">
        <f>G316+H316</f>
        <v>3700</v>
      </c>
    </row>
    <row r="317" spans="1:9" ht="38.25" x14ac:dyDescent="0.25">
      <c r="A317" s="502">
        <v>37</v>
      </c>
      <c r="B317" s="503"/>
      <c r="C317" s="504"/>
      <c r="D317" s="11" t="s">
        <v>51</v>
      </c>
      <c r="E317" s="19">
        <v>4000</v>
      </c>
      <c r="F317" s="19"/>
      <c r="G317" s="405">
        <f>E317+F317</f>
        <v>4000</v>
      </c>
      <c r="H317" s="19">
        <v>-300</v>
      </c>
      <c r="I317" s="19">
        <f>G317+H317</f>
        <v>3700</v>
      </c>
    </row>
    <row r="318" spans="1:9" x14ac:dyDescent="0.25">
      <c r="A318" s="643" t="s">
        <v>436</v>
      </c>
      <c r="B318" s="644"/>
      <c r="C318" s="644"/>
      <c r="D318" s="653"/>
      <c r="E318" s="42">
        <f t="shared" ref="E318:I318" si="132">E319</f>
        <v>3500</v>
      </c>
      <c r="F318" s="42">
        <f t="shared" si="132"/>
        <v>0</v>
      </c>
      <c r="G318" s="45">
        <f t="shared" si="132"/>
        <v>3500</v>
      </c>
      <c r="H318" s="45">
        <f t="shared" si="132"/>
        <v>0</v>
      </c>
      <c r="I318" s="42">
        <f t="shared" si="132"/>
        <v>3500</v>
      </c>
    </row>
    <row r="319" spans="1:9" x14ac:dyDescent="0.25">
      <c r="A319" s="522" t="s">
        <v>660</v>
      </c>
      <c r="B319" s="523"/>
      <c r="C319" s="523"/>
      <c r="D319" s="524"/>
      <c r="E319" s="611">
        <f t="shared" ref="E319:G319" si="133">E323</f>
        <v>3500</v>
      </c>
      <c r="F319" s="651">
        <f t="shared" si="133"/>
        <v>0</v>
      </c>
      <c r="G319" s="569">
        <f t="shared" si="133"/>
        <v>3500</v>
      </c>
      <c r="H319" s="569">
        <f t="shared" ref="H319:I319" si="134">H323</f>
        <v>0</v>
      </c>
      <c r="I319" s="571">
        <f t="shared" si="134"/>
        <v>3500</v>
      </c>
    </row>
    <row r="320" spans="1:9" x14ac:dyDescent="0.25">
      <c r="A320" s="516" t="s">
        <v>95</v>
      </c>
      <c r="B320" s="517"/>
      <c r="C320" s="517"/>
      <c r="D320" s="517"/>
      <c r="E320" s="612"/>
      <c r="F320" s="652"/>
      <c r="G320" s="570"/>
      <c r="H320" s="570"/>
      <c r="I320" s="572"/>
    </row>
    <row r="321" spans="1:9" x14ac:dyDescent="0.25">
      <c r="A321" s="185" t="s">
        <v>625</v>
      </c>
      <c r="B321" s="182"/>
      <c r="C321" s="182"/>
      <c r="D321" s="183"/>
      <c r="E321" s="184"/>
      <c r="F321" s="184"/>
      <c r="G321" s="413"/>
      <c r="H321" s="428"/>
      <c r="I321" s="428"/>
    </row>
    <row r="322" spans="1:9" x14ac:dyDescent="0.25">
      <c r="A322" s="16" t="s">
        <v>86</v>
      </c>
      <c r="B322" s="16"/>
      <c r="C322" s="16"/>
      <c r="D322" s="16"/>
      <c r="E322" s="26">
        <f>E319</f>
        <v>3500</v>
      </c>
      <c r="F322" s="26">
        <f t="shared" ref="F322:G322" si="135">F319</f>
        <v>0</v>
      </c>
      <c r="G322" s="409">
        <f t="shared" si="135"/>
        <v>3500</v>
      </c>
      <c r="H322" s="26"/>
      <c r="I322" s="26">
        <f>G322+H322</f>
        <v>3500</v>
      </c>
    </row>
    <row r="323" spans="1:9" x14ac:dyDescent="0.25">
      <c r="A323" s="496">
        <v>3</v>
      </c>
      <c r="B323" s="497"/>
      <c r="C323" s="498"/>
      <c r="D323" s="11" t="s">
        <v>19</v>
      </c>
      <c r="E323" s="12">
        <f>E324</f>
        <v>3500</v>
      </c>
      <c r="F323" s="12">
        <f t="shared" ref="F323:G323" si="136">F324</f>
        <v>0</v>
      </c>
      <c r="G323" s="374">
        <f t="shared" si="136"/>
        <v>3500</v>
      </c>
      <c r="H323" s="12"/>
      <c r="I323" s="12">
        <f>G323+H323</f>
        <v>3500</v>
      </c>
    </row>
    <row r="324" spans="1:9" ht="38.25" x14ac:dyDescent="0.25">
      <c r="A324" s="502">
        <v>37</v>
      </c>
      <c r="B324" s="503"/>
      <c r="C324" s="504"/>
      <c r="D324" s="11" t="s">
        <v>51</v>
      </c>
      <c r="E324" s="19">
        <v>3500</v>
      </c>
      <c r="F324" s="19"/>
      <c r="G324" s="405">
        <f>E324+F324</f>
        <v>3500</v>
      </c>
      <c r="H324" s="19"/>
      <c r="I324" s="12">
        <f>G324+H324</f>
        <v>3500</v>
      </c>
    </row>
    <row r="325" spans="1:9" x14ac:dyDescent="0.25">
      <c r="A325" s="39" t="s">
        <v>437</v>
      </c>
      <c r="B325" s="39"/>
      <c r="C325" s="39"/>
      <c r="D325" s="39"/>
      <c r="E325" s="42">
        <f t="shared" ref="E325:I325" si="137">E326</f>
        <v>10000</v>
      </c>
      <c r="F325" s="42">
        <f t="shared" si="137"/>
        <v>-2000</v>
      </c>
      <c r="G325" s="45">
        <f t="shared" si="137"/>
        <v>8000</v>
      </c>
      <c r="H325" s="45">
        <f t="shared" si="137"/>
        <v>0</v>
      </c>
      <c r="I325" s="42">
        <f t="shared" si="137"/>
        <v>8000</v>
      </c>
    </row>
    <row r="326" spans="1:9" x14ac:dyDescent="0.25">
      <c r="A326" s="491" t="s">
        <v>661</v>
      </c>
      <c r="B326" s="492"/>
      <c r="C326" s="492"/>
      <c r="D326" s="493"/>
      <c r="E326" s="31">
        <f t="shared" ref="E326:I326" si="138">E329</f>
        <v>10000</v>
      </c>
      <c r="F326" s="31">
        <f t="shared" si="138"/>
        <v>-2000</v>
      </c>
      <c r="G326" s="442">
        <f t="shared" si="138"/>
        <v>8000</v>
      </c>
      <c r="H326" s="442">
        <f t="shared" si="138"/>
        <v>0</v>
      </c>
      <c r="I326" s="443">
        <f t="shared" si="138"/>
        <v>8000</v>
      </c>
    </row>
    <row r="327" spans="1:9" x14ac:dyDescent="0.25">
      <c r="A327" s="185" t="s">
        <v>461</v>
      </c>
      <c r="B327" s="182"/>
      <c r="C327" s="182"/>
      <c r="D327" s="183"/>
      <c r="E327" s="184"/>
      <c r="F327" s="184"/>
      <c r="G327" s="413"/>
      <c r="H327" s="428"/>
      <c r="I327" s="428"/>
    </row>
    <row r="328" spans="1:9" x14ac:dyDescent="0.25">
      <c r="A328" s="16" t="s">
        <v>86</v>
      </c>
      <c r="B328" s="16"/>
      <c r="C328" s="16"/>
      <c r="D328" s="14"/>
      <c r="E328" s="26">
        <f>E326</f>
        <v>10000</v>
      </c>
      <c r="F328" s="26">
        <f t="shared" ref="F328:G328" si="139">F326</f>
        <v>-2000</v>
      </c>
      <c r="G328" s="409">
        <f t="shared" si="139"/>
        <v>8000</v>
      </c>
      <c r="H328" s="26"/>
      <c r="I328" s="26">
        <f>G328+H328</f>
        <v>8000</v>
      </c>
    </row>
    <row r="329" spans="1:9" x14ac:dyDescent="0.25">
      <c r="A329" s="496">
        <v>3</v>
      </c>
      <c r="B329" s="497"/>
      <c r="C329" s="498"/>
      <c r="D329" s="11" t="s">
        <v>19</v>
      </c>
      <c r="E329" s="12">
        <f>E330</f>
        <v>10000</v>
      </c>
      <c r="F329" s="12">
        <f t="shared" ref="F329:G329" si="140">F330</f>
        <v>-2000</v>
      </c>
      <c r="G329" s="374">
        <f t="shared" si="140"/>
        <v>8000</v>
      </c>
      <c r="H329" s="12"/>
      <c r="I329" s="12">
        <f>G329+H329</f>
        <v>8000</v>
      </c>
    </row>
    <row r="330" spans="1:9" ht="38.25" x14ac:dyDescent="0.25">
      <c r="A330" s="502">
        <v>37</v>
      </c>
      <c r="B330" s="503"/>
      <c r="C330" s="504"/>
      <c r="D330" s="11" t="s">
        <v>51</v>
      </c>
      <c r="E330" s="19">
        <v>10000</v>
      </c>
      <c r="F330" s="19">
        <v>-2000</v>
      </c>
      <c r="G330" s="405">
        <f>E330+F330</f>
        <v>8000</v>
      </c>
      <c r="H330" s="19"/>
      <c r="I330" s="12">
        <f>G330+H330</f>
        <v>8000</v>
      </c>
    </row>
    <row r="331" spans="1:9" x14ac:dyDescent="0.25">
      <c r="A331" s="55" t="s">
        <v>97</v>
      </c>
      <c r="B331" s="55"/>
      <c r="C331" s="55"/>
      <c r="D331" s="55"/>
      <c r="E331" s="567">
        <f t="shared" ref="E331" si="141">E333+E341</f>
        <v>37500</v>
      </c>
      <c r="F331" s="601">
        <f t="shared" ref="F331:G331" si="142">F333+F341</f>
        <v>2000</v>
      </c>
      <c r="G331" s="565">
        <f t="shared" si="142"/>
        <v>39500</v>
      </c>
      <c r="H331" s="565">
        <f t="shared" ref="H331:I331" si="143">H333+H341</f>
        <v>-1500</v>
      </c>
      <c r="I331" s="567">
        <f t="shared" si="143"/>
        <v>38000</v>
      </c>
    </row>
    <row r="332" spans="1:9" x14ac:dyDescent="0.25">
      <c r="A332" s="603" t="s">
        <v>98</v>
      </c>
      <c r="B332" s="604"/>
      <c r="C332" s="604"/>
      <c r="D332" s="605"/>
      <c r="E332" s="568"/>
      <c r="F332" s="602"/>
      <c r="G332" s="566"/>
      <c r="H332" s="566"/>
      <c r="I332" s="568"/>
    </row>
    <row r="333" spans="1:9" x14ac:dyDescent="0.25">
      <c r="A333" s="39" t="s">
        <v>438</v>
      </c>
      <c r="B333" s="39"/>
      <c r="C333" s="39"/>
      <c r="D333" s="39"/>
      <c r="E333" s="42">
        <f t="shared" ref="E333:I333" si="144">E334</f>
        <v>34000</v>
      </c>
      <c r="F333" s="42">
        <f t="shared" si="144"/>
        <v>2000</v>
      </c>
      <c r="G333" s="45">
        <f t="shared" si="144"/>
        <v>36000</v>
      </c>
      <c r="H333" s="45">
        <f t="shared" si="144"/>
        <v>0</v>
      </c>
      <c r="I333" s="42">
        <f t="shared" si="144"/>
        <v>36000</v>
      </c>
    </row>
    <row r="334" spans="1:9" ht="30.75" customHeight="1" x14ac:dyDescent="0.25">
      <c r="A334" s="518" t="s">
        <v>662</v>
      </c>
      <c r="B334" s="519"/>
      <c r="C334" s="519"/>
      <c r="D334" s="520"/>
      <c r="E334" s="28">
        <f t="shared" ref="E334:I334" si="145">E338</f>
        <v>34000</v>
      </c>
      <c r="F334" s="28">
        <f t="shared" si="145"/>
        <v>2000</v>
      </c>
      <c r="G334" s="401">
        <f t="shared" si="145"/>
        <v>36000</v>
      </c>
      <c r="H334" s="401">
        <f t="shared" si="145"/>
        <v>0</v>
      </c>
      <c r="I334" s="36">
        <f t="shared" si="145"/>
        <v>36000</v>
      </c>
    </row>
    <row r="335" spans="1:9" x14ac:dyDescent="0.25">
      <c r="A335" s="185" t="s">
        <v>462</v>
      </c>
      <c r="B335" s="182"/>
      <c r="C335" s="182"/>
      <c r="D335" s="183"/>
      <c r="E335" s="184"/>
      <c r="F335" s="184"/>
      <c r="G335" s="413"/>
      <c r="H335" s="428"/>
      <c r="I335" s="428"/>
    </row>
    <row r="336" spans="1:9" x14ac:dyDescent="0.25">
      <c r="A336" s="16" t="s">
        <v>86</v>
      </c>
      <c r="B336" s="16"/>
      <c r="C336" s="16"/>
      <c r="D336" s="16"/>
      <c r="E336" s="26">
        <f>E334-E337</f>
        <v>20000</v>
      </c>
      <c r="F336" s="26">
        <v>2000</v>
      </c>
      <c r="G336" s="409">
        <f>E336+F336</f>
        <v>22000</v>
      </c>
      <c r="H336" s="26"/>
      <c r="I336" s="26">
        <f>G336+H336</f>
        <v>22000</v>
      </c>
    </row>
    <row r="337" spans="1:9" x14ac:dyDescent="0.25">
      <c r="A337" s="16" t="s">
        <v>77</v>
      </c>
      <c r="B337" s="16"/>
      <c r="C337" s="16"/>
      <c r="D337" s="16"/>
      <c r="E337" s="26">
        <v>14000</v>
      </c>
      <c r="F337" s="26"/>
      <c r="G337" s="409">
        <f>E337+F337</f>
        <v>14000</v>
      </c>
      <c r="H337" s="26"/>
      <c r="I337" s="26">
        <f>G337+H337</f>
        <v>14000</v>
      </c>
    </row>
    <row r="338" spans="1:9" x14ac:dyDescent="0.25">
      <c r="A338" s="496">
        <v>3</v>
      </c>
      <c r="B338" s="497"/>
      <c r="C338" s="498"/>
      <c r="D338" s="11" t="s">
        <v>19</v>
      </c>
      <c r="E338" s="19">
        <f>E339+E340</f>
        <v>34000</v>
      </c>
      <c r="F338" s="19">
        <f t="shared" ref="F338:G338" si="146">F339+F340</f>
        <v>2000</v>
      </c>
      <c r="G338" s="405">
        <f t="shared" si="146"/>
        <v>36000</v>
      </c>
      <c r="H338" s="19"/>
      <c r="I338" s="19">
        <f>G338+H338</f>
        <v>36000</v>
      </c>
    </row>
    <row r="339" spans="1:9" ht="30" customHeight="1" x14ac:dyDescent="0.25">
      <c r="A339" s="502">
        <v>36</v>
      </c>
      <c r="B339" s="503"/>
      <c r="C339" s="504"/>
      <c r="D339" s="11" t="s">
        <v>50</v>
      </c>
      <c r="E339" s="19">
        <v>14000</v>
      </c>
      <c r="F339" s="19"/>
      <c r="G339" s="405">
        <f>E339+F339</f>
        <v>14000</v>
      </c>
      <c r="H339" s="19"/>
      <c r="I339" s="19">
        <f t="shared" ref="I339:I340" si="147">G339+H339</f>
        <v>14000</v>
      </c>
    </row>
    <row r="340" spans="1:9" x14ac:dyDescent="0.25">
      <c r="A340" s="502">
        <v>38</v>
      </c>
      <c r="B340" s="503"/>
      <c r="C340" s="504"/>
      <c r="D340" s="11" t="s">
        <v>52</v>
      </c>
      <c r="E340" s="19">
        <v>20000</v>
      </c>
      <c r="F340" s="19">
        <v>2000</v>
      </c>
      <c r="G340" s="405">
        <f>E340+F340</f>
        <v>22000</v>
      </c>
      <c r="H340" s="19"/>
      <c r="I340" s="19">
        <f t="shared" si="147"/>
        <v>22000</v>
      </c>
    </row>
    <row r="341" spans="1:9" x14ac:dyDescent="0.25">
      <c r="A341" s="600" t="s">
        <v>439</v>
      </c>
      <c r="B341" s="600"/>
      <c r="C341" s="600"/>
      <c r="D341" s="600"/>
      <c r="E341" s="48">
        <f t="shared" ref="E341:I341" si="148">E342</f>
        <v>3500</v>
      </c>
      <c r="F341" s="48">
        <f t="shared" si="148"/>
        <v>0</v>
      </c>
      <c r="G341" s="423">
        <f t="shared" si="148"/>
        <v>3500</v>
      </c>
      <c r="H341" s="423">
        <f t="shared" si="148"/>
        <v>-1500</v>
      </c>
      <c r="I341" s="48">
        <f t="shared" si="148"/>
        <v>2000</v>
      </c>
    </row>
    <row r="342" spans="1:9" ht="29.25" customHeight="1" x14ac:dyDescent="0.25">
      <c r="A342" s="518" t="s">
        <v>663</v>
      </c>
      <c r="B342" s="519"/>
      <c r="C342" s="519"/>
      <c r="D342" s="520"/>
      <c r="E342" s="28">
        <f t="shared" ref="E342:I342" si="149">E345</f>
        <v>3500</v>
      </c>
      <c r="F342" s="28">
        <f t="shared" si="149"/>
        <v>0</v>
      </c>
      <c r="G342" s="401">
        <f t="shared" si="149"/>
        <v>3500</v>
      </c>
      <c r="H342" s="401">
        <f t="shared" si="149"/>
        <v>-1500</v>
      </c>
      <c r="I342" s="36">
        <f t="shared" si="149"/>
        <v>2000</v>
      </c>
    </row>
    <row r="343" spans="1:9" x14ac:dyDescent="0.25">
      <c r="A343" s="185" t="s">
        <v>463</v>
      </c>
      <c r="B343" s="182"/>
      <c r="C343" s="182"/>
      <c r="D343" s="183"/>
      <c r="E343" s="184"/>
      <c r="F343" s="184"/>
      <c r="G343" s="413"/>
      <c r="H343" s="428"/>
      <c r="I343" s="428"/>
    </row>
    <row r="344" spans="1:9" x14ac:dyDescent="0.25">
      <c r="A344" s="16" t="s">
        <v>86</v>
      </c>
      <c r="B344" s="16"/>
      <c r="C344" s="16"/>
      <c r="D344" s="16"/>
      <c r="E344" s="26">
        <f>E342</f>
        <v>3500</v>
      </c>
      <c r="F344" s="26">
        <f t="shared" ref="F344:G344" si="150">F342</f>
        <v>0</v>
      </c>
      <c r="G344" s="409">
        <f t="shared" si="150"/>
        <v>3500</v>
      </c>
      <c r="H344" s="26">
        <v>-1500</v>
      </c>
      <c r="I344" s="26">
        <f>I345</f>
        <v>2000</v>
      </c>
    </row>
    <row r="345" spans="1:9" x14ac:dyDescent="0.25">
      <c r="A345" s="496">
        <v>3</v>
      </c>
      <c r="B345" s="497"/>
      <c r="C345" s="498"/>
      <c r="D345" s="11" t="s">
        <v>19</v>
      </c>
      <c r="E345" s="19">
        <f>E346</f>
        <v>3500</v>
      </c>
      <c r="F345" s="19">
        <f t="shared" ref="F345:G345" si="151">F346</f>
        <v>0</v>
      </c>
      <c r="G345" s="405">
        <f t="shared" si="151"/>
        <v>3500</v>
      </c>
      <c r="H345" s="19">
        <f>H346</f>
        <v>-1500</v>
      </c>
      <c r="I345" s="19">
        <f>G345+H345</f>
        <v>2000</v>
      </c>
    </row>
    <row r="346" spans="1:9" x14ac:dyDescent="0.25">
      <c r="A346" s="502">
        <v>38</v>
      </c>
      <c r="B346" s="503"/>
      <c r="C346" s="504"/>
      <c r="D346" s="11" t="s">
        <v>52</v>
      </c>
      <c r="E346" s="19">
        <v>3500</v>
      </c>
      <c r="F346" s="19"/>
      <c r="G346" s="405">
        <f>E346+F346</f>
        <v>3500</v>
      </c>
      <c r="H346" s="19">
        <v>-1500</v>
      </c>
      <c r="I346" s="19">
        <f>G346+H346</f>
        <v>2000</v>
      </c>
    </row>
    <row r="347" spans="1:9" x14ac:dyDescent="0.25">
      <c r="A347" s="53" t="s">
        <v>101</v>
      </c>
      <c r="B347" s="53"/>
      <c r="C347" s="53"/>
      <c r="D347" s="53"/>
      <c r="E347" s="54">
        <f>E348+E361+E355</f>
        <v>94000</v>
      </c>
      <c r="F347" s="54">
        <f t="shared" ref="F347" si="152">F348+F361+F355</f>
        <v>-33200</v>
      </c>
      <c r="G347" s="394">
        <f>G348+G361+G355</f>
        <v>60800</v>
      </c>
      <c r="H347" s="394">
        <f t="shared" ref="H347:I347" si="153">H348+H361+H355</f>
        <v>0</v>
      </c>
      <c r="I347" s="54">
        <f t="shared" si="153"/>
        <v>60800</v>
      </c>
    </row>
    <row r="348" spans="1:9" x14ac:dyDescent="0.25">
      <c r="A348" s="39" t="s">
        <v>440</v>
      </c>
      <c r="B348" s="39"/>
      <c r="C348" s="39"/>
      <c r="D348" s="39"/>
      <c r="E348" s="42">
        <f t="shared" ref="E348:I348" si="154">E349</f>
        <v>55000</v>
      </c>
      <c r="F348" s="42">
        <f t="shared" si="154"/>
        <v>0</v>
      </c>
      <c r="G348" s="45">
        <f t="shared" si="154"/>
        <v>55000</v>
      </c>
      <c r="H348" s="45">
        <f t="shared" si="154"/>
        <v>0</v>
      </c>
      <c r="I348" s="42">
        <f t="shared" si="154"/>
        <v>55000</v>
      </c>
    </row>
    <row r="349" spans="1:9" x14ac:dyDescent="0.25">
      <c r="A349" s="438" t="s">
        <v>664</v>
      </c>
      <c r="B349" s="439"/>
      <c r="C349" s="439"/>
      <c r="D349" s="439"/>
      <c r="E349" s="609">
        <f t="shared" ref="E349:G349" si="155">E353</f>
        <v>55000</v>
      </c>
      <c r="F349" s="576">
        <f t="shared" si="155"/>
        <v>0</v>
      </c>
      <c r="G349" s="569">
        <f t="shared" si="155"/>
        <v>55000</v>
      </c>
      <c r="H349" s="569">
        <f t="shared" ref="H349:I349" si="156">H353</f>
        <v>0</v>
      </c>
      <c r="I349" s="571">
        <f t="shared" si="156"/>
        <v>55000</v>
      </c>
    </row>
    <row r="350" spans="1:9" x14ac:dyDescent="0.25">
      <c r="A350" s="516" t="s">
        <v>103</v>
      </c>
      <c r="B350" s="517"/>
      <c r="C350" s="517"/>
      <c r="D350" s="521"/>
      <c r="E350" s="610"/>
      <c r="F350" s="578"/>
      <c r="G350" s="570"/>
      <c r="H350" s="570"/>
      <c r="I350" s="572"/>
    </row>
    <row r="351" spans="1:9" x14ac:dyDescent="0.25">
      <c r="A351" s="185" t="s">
        <v>464</v>
      </c>
      <c r="B351" s="182"/>
      <c r="C351" s="182"/>
      <c r="D351" s="183"/>
      <c r="E351" s="184"/>
      <c r="F351" s="184"/>
      <c r="G351" s="413"/>
      <c r="H351" s="428"/>
      <c r="I351" s="428"/>
    </row>
    <row r="352" spans="1:9" x14ac:dyDescent="0.25">
      <c r="A352" s="16" t="s">
        <v>86</v>
      </c>
      <c r="B352" s="16"/>
      <c r="C352" s="16"/>
      <c r="D352" s="16"/>
      <c r="E352" s="26">
        <f>E349</f>
        <v>55000</v>
      </c>
      <c r="F352" s="26">
        <f t="shared" ref="F352:G352" si="157">F349</f>
        <v>0</v>
      </c>
      <c r="G352" s="409">
        <f t="shared" si="157"/>
        <v>55000</v>
      </c>
      <c r="H352" s="26"/>
      <c r="I352" s="26">
        <f>I353</f>
        <v>55000</v>
      </c>
    </row>
    <row r="353" spans="1:9" x14ac:dyDescent="0.25">
      <c r="A353" s="496">
        <v>3</v>
      </c>
      <c r="B353" s="497"/>
      <c r="C353" s="498"/>
      <c r="D353" s="11" t="s">
        <v>19</v>
      </c>
      <c r="E353" s="12">
        <f>E354</f>
        <v>55000</v>
      </c>
      <c r="F353" s="12">
        <f t="shared" ref="F353:G353" si="158">F354</f>
        <v>0</v>
      </c>
      <c r="G353" s="374">
        <f t="shared" si="158"/>
        <v>55000</v>
      </c>
      <c r="H353" s="12"/>
      <c r="I353" s="12">
        <f>G353+H353</f>
        <v>55000</v>
      </c>
    </row>
    <row r="354" spans="1:9" x14ac:dyDescent="0.25">
      <c r="A354" s="502">
        <v>38</v>
      </c>
      <c r="B354" s="503"/>
      <c r="C354" s="504"/>
      <c r="D354" s="11" t="s">
        <v>52</v>
      </c>
      <c r="E354" s="19">
        <v>55000</v>
      </c>
      <c r="F354" s="19"/>
      <c r="G354" s="405">
        <f>E354+F354</f>
        <v>55000</v>
      </c>
      <c r="H354" s="19"/>
      <c r="I354" s="12">
        <f>G354+H354</f>
        <v>55000</v>
      </c>
    </row>
    <row r="355" spans="1:9" x14ac:dyDescent="0.25">
      <c r="A355" s="39" t="s">
        <v>441</v>
      </c>
      <c r="B355" s="39"/>
      <c r="C355" s="39"/>
      <c r="D355" s="39"/>
      <c r="E355" s="42">
        <f t="shared" ref="E355:I355" si="159">E356</f>
        <v>4000</v>
      </c>
      <c r="F355" s="42">
        <f t="shared" si="159"/>
        <v>0</v>
      </c>
      <c r="G355" s="45">
        <f t="shared" si="159"/>
        <v>4000</v>
      </c>
      <c r="H355" s="45">
        <f t="shared" si="159"/>
        <v>0</v>
      </c>
      <c r="I355" s="42">
        <f t="shared" si="159"/>
        <v>4000</v>
      </c>
    </row>
    <row r="356" spans="1:9" x14ac:dyDescent="0.25">
      <c r="A356" s="525" t="s">
        <v>665</v>
      </c>
      <c r="B356" s="525"/>
      <c r="C356" s="525"/>
      <c r="D356" s="525"/>
      <c r="E356" s="30">
        <f t="shared" ref="E356:I356" si="160">E359</f>
        <v>4000</v>
      </c>
      <c r="F356" s="30">
        <f t="shared" si="160"/>
        <v>0</v>
      </c>
      <c r="G356" s="414">
        <f t="shared" si="160"/>
        <v>4000</v>
      </c>
      <c r="H356" s="414">
        <f t="shared" si="160"/>
        <v>0</v>
      </c>
      <c r="I356" s="209">
        <f t="shared" si="160"/>
        <v>4000</v>
      </c>
    </row>
    <row r="357" spans="1:9" x14ac:dyDescent="0.25">
      <c r="A357" s="185" t="s">
        <v>465</v>
      </c>
      <c r="B357" s="182"/>
      <c r="C357" s="182"/>
      <c r="D357" s="183"/>
      <c r="E357" s="184"/>
      <c r="F357" s="184"/>
      <c r="G357" s="413"/>
      <c r="H357" s="428"/>
      <c r="I357" s="428"/>
    </row>
    <row r="358" spans="1:9" x14ac:dyDescent="0.25">
      <c r="A358" s="16" t="s">
        <v>86</v>
      </c>
      <c r="B358" s="16"/>
      <c r="C358" s="16"/>
      <c r="D358" s="16"/>
      <c r="E358" s="26">
        <f>E356</f>
        <v>4000</v>
      </c>
      <c r="F358" s="26">
        <f t="shared" ref="F358:G358" si="161">F356</f>
        <v>0</v>
      </c>
      <c r="G358" s="409">
        <f t="shared" si="161"/>
        <v>4000</v>
      </c>
      <c r="H358" s="26"/>
      <c r="I358" s="26">
        <f>G358+H358</f>
        <v>4000</v>
      </c>
    </row>
    <row r="359" spans="1:9" x14ac:dyDescent="0.25">
      <c r="A359" s="496">
        <v>3</v>
      </c>
      <c r="B359" s="497"/>
      <c r="C359" s="498"/>
      <c r="D359" s="11" t="s">
        <v>19</v>
      </c>
      <c r="E359" s="12">
        <f>E360</f>
        <v>4000</v>
      </c>
      <c r="F359" s="12">
        <f t="shared" ref="F359:G359" si="162">F360</f>
        <v>0</v>
      </c>
      <c r="G359" s="374">
        <f t="shared" si="162"/>
        <v>4000</v>
      </c>
      <c r="H359" s="12"/>
      <c r="I359" s="12">
        <f>G359+H359</f>
        <v>4000</v>
      </c>
    </row>
    <row r="360" spans="1:9" x14ac:dyDescent="0.25">
      <c r="A360" s="502">
        <v>38</v>
      </c>
      <c r="B360" s="503"/>
      <c r="C360" s="504"/>
      <c r="D360" s="11" t="s">
        <v>52</v>
      </c>
      <c r="E360" s="19">
        <v>4000</v>
      </c>
      <c r="F360" s="19"/>
      <c r="G360" s="405">
        <f>E360+F360</f>
        <v>4000</v>
      </c>
      <c r="H360" s="19"/>
      <c r="I360" s="12">
        <f>G360+H360</f>
        <v>4000</v>
      </c>
    </row>
    <row r="361" spans="1:9" x14ac:dyDescent="0.25">
      <c r="A361" s="508" t="s">
        <v>624</v>
      </c>
      <c r="B361" s="509"/>
      <c r="C361" s="509"/>
      <c r="D361" s="510"/>
      <c r="E361" s="41">
        <f>E362</f>
        <v>35000</v>
      </c>
      <c r="F361" s="41">
        <f t="shared" ref="F361:I361" si="163">F362</f>
        <v>-33200</v>
      </c>
      <c r="G361" s="407">
        <f t="shared" si="163"/>
        <v>1800</v>
      </c>
      <c r="H361" s="407">
        <f t="shared" si="163"/>
        <v>0</v>
      </c>
      <c r="I361" s="41">
        <f t="shared" si="163"/>
        <v>1800</v>
      </c>
    </row>
    <row r="362" spans="1:9" ht="15" customHeight="1" x14ac:dyDescent="0.25">
      <c r="A362" s="518" t="s">
        <v>666</v>
      </c>
      <c r="B362" s="519"/>
      <c r="C362" s="519"/>
      <c r="D362" s="520"/>
      <c r="E362" s="28">
        <f t="shared" ref="E362:I362" si="164">E365</f>
        <v>35000</v>
      </c>
      <c r="F362" s="28">
        <f t="shared" si="164"/>
        <v>-33200</v>
      </c>
      <c r="G362" s="401">
        <f t="shared" si="164"/>
        <v>1800</v>
      </c>
      <c r="H362" s="401">
        <f t="shared" si="164"/>
        <v>0</v>
      </c>
      <c r="I362" s="36">
        <f t="shared" si="164"/>
        <v>1800</v>
      </c>
    </row>
    <row r="363" spans="1:9" x14ac:dyDescent="0.25">
      <c r="A363" s="185" t="s">
        <v>466</v>
      </c>
      <c r="B363" s="182"/>
      <c r="C363" s="182"/>
      <c r="D363" s="183"/>
      <c r="E363" s="184"/>
      <c r="F363" s="184"/>
      <c r="G363" s="413"/>
      <c r="H363" s="428"/>
      <c r="I363" s="428"/>
    </row>
    <row r="364" spans="1:9" x14ac:dyDescent="0.25">
      <c r="A364" s="16" t="s">
        <v>86</v>
      </c>
      <c r="B364" s="16"/>
      <c r="C364" s="16"/>
      <c r="D364" s="16"/>
      <c r="E364" s="26">
        <f>E362</f>
        <v>35000</v>
      </c>
      <c r="F364" s="26">
        <f t="shared" ref="F364:G364" si="165">F362</f>
        <v>-33200</v>
      </c>
      <c r="G364" s="409">
        <f t="shared" si="165"/>
        <v>1800</v>
      </c>
      <c r="H364" s="26"/>
      <c r="I364" s="26">
        <f>I365</f>
        <v>1800</v>
      </c>
    </row>
    <row r="365" spans="1:9" x14ac:dyDescent="0.25">
      <c r="A365" s="496">
        <v>3</v>
      </c>
      <c r="B365" s="497"/>
      <c r="C365" s="498"/>
      <c r="D365" s="11" t="s">
        <v>19</v>
      </c>
      <c r="E365" s="12">
        <f>E366</f>
        <v>35000</v>
      </c>
      <c r="F365" s="12">
        <f t="shared" ref="F365:G365" si="166">F366</f>
        <v>-33200</v>
      </c>
      <c r="G365" s="374">
        <f t="shared" si="166"/>
        <v>1800</v>
      </c>
      <c r="H365" s="12"/>
      <c r="I365" s="12">
        <f>G365+H365</f>
        <v>1800</v>
      </c>
    </row>
    <row r="366" spans="1:9" x14ac:dyDescent="0.25">
      <c r="A366" s="502">
        <v>38</v>
      </c>
      <c r="B366" s="503"/>
      <c r="C366" s="504"/>
      <c r="D366" s="11" t="s">
        <v>52</v>
      </c>
      <c r="E366" s="19">
        <v>35000</v>
      </c>
      <c r="F366" s="19">
        <v>-33200</v>
      </c>
      <c r="G366" s="405">
        <f>E366+F366</f>
        <v>1800</v>
      </c>
      <c r="H366" s="19"/>
      <c r="I366" s="12">
        <f>G366+H366</f>
        <v>1800</v>
      </c>
    </row>
    <row r="367" spans="1:9" x14ac:dyDescent="0.25">
      <c r="A367" s="53" t="s">
        <v>106</v>
      </c>
      <c r="B367" s="53"/>
      <c r="C367" s="53"/>
      <c r="D367" s="53"/>
      <c r="E367" s="54">
        <f>E368+E386+E392</f>
        <v>164772</v>
      </c>
      <c r="F367" s="54">
        <f t="shared" ref="F367:I367" si="167">F368+F386+F392</f>
        <v>-8062</v>
      </c>
      <c r="G367" s="394">
        <f t="shared" si="167"/>
        <v>155710</v>
      </c>
      <c r="H367" s="394">
        <f>H368+H386+H392</f>
        <v>-30800</v>
      </c>
      <c r="I367" s="394">
        <f t="shared" si="167"/>
        <v>124910</v>
      </c>
    </row>
    <row r="368" spans="1:9" x14ac:dyDescent="0.25">
      <c r="A368" s="46" t="s">
        <v>442</v>
      </c>
      <c r="B368" s="46"/>
      <c r="C368" s="46"/>
      <c r="D368" s="46"/>
      <c r="E368" s="47">
        <f>E369+E375+E380</f>
        <v>143060</v>
      </c>
      <c r="F368" s="47">
        <f t="shared" ref="F368:G368" si="168">F369+F375+F380</f>
        <v>5550</v>
      </c>
      <c r="G368" s="420">
        <f t="shared" si="168"/>
        <v>149610</v>
      </c>
      <c r="H368" s="420">
        <f>H369+H375+H380</f>
        <v>-29700</v>
      </c>
      <c r="I368" s="420">
        <f>I369+I375+I380</f>
        <v>119910</v>
      </c>
    </row>
    <row r="369" spans="1:9" x14ac:dyDescent="0.25">
      <c r="A369" s="491" t="s">
        <v>667</v>
      </c>
      <c r="B369" s="492"/>
      <c r="C369" s="492"/>
      <c r="D369" s="493"/>
      <c r="E369" s="27">
        <f t="shared" ref="E369:G369" si="169">E372</f>
        <v>54500</v>
      </c>
      <c r="F369" s="27">
        <f t="shared" si="169"/>
        <v>2600</v>
      </c>
      <c r="G369" s="442">
        <f t="shared" si="169"/>
        <v>58100</v>
      </c>
      <c r="H369" s="443">
        <f>H372</f>
        <v>8600</v>
      </c>
      <c r="I369" s="443">
        <f>G369+H369</f>
        <v>66700</v>
      </c>
    </row>
    <row r="370" spans="1:9" x14ac:dyDescent="0.25">
      <c r="A370" s="185" t="s">
        <v>467</v>
      </c>
      <c r="B370" s="182"/>
      <c r="C370" s="182"/>
      <c r="D370" s="183"/>
      <c r="E370" s="184"/>
      <c r="F370" s="184"/>
      <c r="G370" s="413"/>
      <c r="H370" s="428"/>
      <c r="I370" s="428"/>
    </row>
    <row r="371" spans="1:9" x14ac:dyDescent="0.25">
      <c r="A371" s="16" t="s">
        <v>108</v>
      </c>
      <c r="B371" s="16"/>
      <c r="C371" s="16"/>
      <c r="D371" s="16"/>
      <c r="E371" s="26">
        <f>E369</f>
        <v>54500</v>
      </c>
      <c r="F371" s="26">
        <f t="shared" ref="F371:G371" si="170">F369</f>
        <v>2600</v>
      </c>
      <c r="G371" s="409">
        <f t="shared" si="170"/>
        <v>58100</v>
      </c>
      <c r="H371" s="26">
        <f>H372</f>
        <v>8600</v>
      </c>
      <c r="I371" s="26">
        <f>G371+H371</f>
        <v>66700</v>
      </c>
    </row>
    <row r="372" spans="1:9" x14ac:dyDescent="0.25">
      <c r="A372" s="496">
        <v>3</v>
      </c>
      <c r="B372" s="497"/>
      <c r="C372" s="498"/>
      <c r="D372" s="11" t="s">
        <v>19</v>
      </c>
      <c r="E372" s="19">
        <f>E373+E374</f>
        <v>54500</v>
      </c>
      <c r="F372" s="19">
        <f t="shared" ref="F372:G372" si="171">F373+F374</f>
        <v>2600</v>
      </c>
      <c r="G372" s="405">
        <f t="shared" si="171"/>
        <v>58100</v>
      </c>
      <c r="H372" s="19">
        <f>H373+H374</f>
        <v>8600</v>
      </c>
      <c r="I372" s="19">
        <f>G372+H372</f>
        <v>66700</v>
      </c>
    </row>
    <row r="373" spans="1:9" ht="38.25" x14ac:dyDescent="0.25">
      <c r="A373" s="502">
        <v>37</v>
      </c>
      <c r="B373" s="503"/>
      <c r="C373" s="504"/>
      <c r="D373" s="11" t="s">
        <v>51</v>
      </c>
      <c r="E373" s="19">
        <v>48500</v>
      </c>
      <c r="F373" s="19">
        <v>2000</v>
      </c>
      <c r="G373" s="405">
        <v>51500</v>
      </c>
      <c r="H373" s="19">
        <f>-1400+10500-500</f>
        <v>8600</v>
      </c>
      <c r="I373" s="19">
        <f t="shared" ref="I373:I374" si="172">G373+H373</f>
        <v>60100</v>
      </c>
    </row>
    <row r="374" spans="1:9" x14ac:dyDescent="0.25">
      <c r="A374" s="502">
        <v>38</v>
      </c>
      <c r="B374" s="503"/>
      <c r="C374" s="504"/>
      <c r="D374" s="11" t="s">
        <v>52</v>
      </c>
      <c r="E374" s="19">
        <v>6000</v>
      </c>
      <c r="F374" s="19">
        <v>600</v>
      </c>
      <c r="G374" s="405">
        <f>E374+F374</f>
        <v>6600</v>
      </c>
      <c r="H374" s="19"/>
      <c r="I374" s="19">
        <f t="shared" si="172"/>
        <v>6600</v>
      </c>
    </row>
    <row r="375" spans="1:9" x14ac:dyDescent="0.25">
      <c r="A375" s="513" t="s">
        <v>668</v>
      </c>
      <c r="B375" s="514"/>
      <c r="C375" s="514"/>
      <c r="D375" s="515"/>
      <c r="E375" s="27">
        <f t="shared" ref="E375:G375" si="173">E378</f>
        <v>2000</v>
      </c>
      <c r="F375" s="27">
        <f t="shared" si="173"/>
        <v>500</v>
      </c>
      <c r="G375" s="442">
        <f t="shared" si="173"/>
        <v>2500</v>
      </c>
      <c r="H375" s="443"/>
      <c r="I375" s="443">
        <f>G375+H375</f>
        <v>2500</v>
      </c>
    </row>
    <row r="376" spans="1:9" x14ac:dyDescent="0.25">
      <c r="A376" s="185" t="s">
        <v>467</v>
      </c>
      <c r="B376" s="182"/>
      <c r="C376" s="182"/>
      <c r="D376" s="183"/>
      <c r="E376" s="184"/>
      <c r="F376" s="184"/>
      <c r="G376" s="413"/>
      <c r="H376" s="428"/>
      <c r="I376" s="428"/>
    </row>
    <row r="377" spans="1:9" x14ac:dyDescent="0.25">
      <c r="A377" s="16" t="s">
        <v>69</v>
      </c>
      <c r="B377" s="16"/>
      <c r="C377" s="16"/>
      <c r="D377" s="14"/>
      <c r="E377" s="26">
        <f>E375</f>
        <v>2000</v>
      </c>
      <c r="F377" s="26">
        <f t="shared" ref="F377:G377" si="174">F375</f>
        <v>500</v>
      </c>
      <c r="G377" s="409">
        <f t="shared" si="174"/>
        <v>2500</v>
      </c>
      <c r="H377" s="26"/>
      <c r="I377" s="26">
        <f>I378</f>
        <v>2500</v>
      </c>
    </row>
    <row r="378" spans="1:9" x14ac:dyDescent="0.25">
      <c r="A378" s="496">
        <v>3</v>
      </c>
      <c r="B378" s="497"/>
      <c r="C378" s="498"/>
      <c r="D378" s="11" t="s">
        <v>19</v>
      </c>
      <c r="E378" s="19">
        <f>E379</f>
        <v>2000</v>
      </c>
      <c r="F378" s="19">
        <f t="shared" ref="F378:G378" si="175">F379</f>
        <v>500</v>
      </c>
      <c r="G378" s="405">
        <f t="shared" si="175"/>
        <v>2500</v>
      </c>
      <c r="H378" s="19"/>
      <c r="I378" s="19">
        <f>G378+H378</f>
        <v>2500</v>
      </c>
    </row>
    <row r="379" spans="1:9" ht="38.25" x14ac:dyDescent="0.25">
      <c r="A379" s="502">
        <v>37</v>
      </c>
      <c r="B379" s="503"/>
      <c r="C379" s="504"/>
      <c r="D379" s="11" t="s">
        <v>51</v>
      </c>
      <c r="E379" s="19">
        <v>2000</v>
      </c>
      <c r="F379" s="19">
        <v>500</v>
      </c>
      <c r="G379" s="405">
        <f>E379+F379</f>
        <v>2500</v>
      </c>
      <c r="H379" s="19"/>
      <c r="I379" s="19">
        <f>G379+H379</f>
        <v>2500</v>
      </c>
    </row>
    <row r="380" spans="1:9" ht="15" customHeight="1" x14ac:dyDescent="0.25">
      <c r="A380" s="513" t="s">
        <v>669</v>
      </c>
      <c r="B380" s="514"/>
      <c r="C380" s="514"/>
      <c r="D380" s="515"/>
      <c r="E380" s="29">
        <f t="shared" ref="E380:G380" si="176">E383</f>
        <v>86560</v>
      </c>
      <c r="F380" s="29">
        <f t="shared" si="176"/>
        <v>2450</v>
      </c>
      <c r="G380" s="412">
        <f t="shared" si="176"/>
        <v>89010</v>
      </c>
      <c r="H380" s="32">
        <f>H383</f>
        <v>-38300</v>
      </c>
      <c r="I380" s="32">
        <f>I382</f>
        <v>50710</v>
      </c>
    </row>
    <row r="381" spans="1:9" x14ac:dyDescent="0.25">
      <c r="A381" s="185" t="s">
        <v>468</v>
      </c>
      <c r="B381" s="182"/>
      <c r="C381" s="182"/>
      <c r="D381" s="183"/>
      <c r="E381" s="184"/>
      <c r="F381" s="184"/>
      <c r="G381" s="413"/>
      <c r="H381" s="428"/>
      <c r="I381" s="428"/>
    </row>
    <row r="382" spans="1:9" x14ac:dyDescent="0.25">
      <c r="A382" s="511" t="s">
        <v>71</v>
      </c>
      <c r="B382" s="512"/>
      <c r="C382" s="512"/>
      <c r="D382" s="512"/>
      <c r="E382" s="26">
        <f>E380</f>
        <v>86560</v>
      </c>
      <c r="F382" s="26">
        <f t="shared" ref="F382:G382" si="177">F380</f>
        <v>2450</v>
      </c>
      <c r="G382" s="409">
        <f t="shared" si="177"/>
        <v>89010</v>
      </c>
      <c r="H382" s="26">
        <v>-38300</v>
      </c>
      <c r="I382" s="26">
        <f>I383</f>
        <v>50710</v>
      </c>
    </row>
    <row r="383" spans="1:9" x14ac:dyDescent="0.25">
      <c r="A383" s="496">
        <v>3</v>
      </c>
      <c r="B383" s="497"/>
      <c r="C383" s="498"/>
      <c r="D383" s="11" t="s">
        <v>19</v>
      </c>
      <c r="E383" s="19">
        <f>E384+E385</f>
        <v>86560</v>
      </c>
      <c r="F383" s="19">
        <f t="shared" ref="F383:G383" si="178">F384+F385</f>
        <v>2450</v>
      </c>
      <c r="G383" s="405">
        <f t="shared" si="178"/>
        <v>89010</v>
      </c>
      <c r="H383" s="19">
        <f>H384+H385</f>
        <v>-38300</v>
      </c>
      <c r="I383" s="19">
        <f>G383+H383</f>
        <v>50710</v>
      </c>
    </row>
    <row r="384" spans="1:9" x14ac:dyDescent="0.25">
      <c r="A384" s="502">
        <v>31</v>
      </c>
      <c r="B384" s="503"/>
      <c r="C384" s="504"/>
      <c r="D384" s="11" t="s">
        <v>22</v>
      </c>
      <c r="E384" s="19">
        <v>86410</v>
      </c>
      <c r="F384" s="19"/>
      <c r="G384" s="405">
        <f>E384+F384</f>
        <v>86410</v>
      </c>
      <c r="H384" s="19">
        <f>-31000-1750-5000</f>
        <v>-37750</v>
      </c>
      <c r="I384" s="19">
        <f t="shared" ref="I384:I385" si="179">G384+H384</f>
        <v>48660</v>
      </c>
    </row>
    <row r="385" spans="1:9" x14ac:dyDescent="0.25">
      <c r="A385" s="502">
        <v>32</v>
      </c>
      <c r="B385" s="503"/>
      <c r="C385" s="504"/>
      <c r="D385" s="11" t="s">
        <v>35</v>
      </c>
      <c r="E385" s="19">
        <v>150</v>
      </c>
      <c r="F385" s="19">
        <v>2450</v>
      </c>
      <c r="G385" s="405">
        <f>E385+F385</f>
        <v>2600</v>
      </c>
      <c r="H385" s="19">
        <f>-150-400</f>
        <v>-550</v>
      </c>
      <c r="I385" s="19">
        <f t="shared" si="179"/>
        <v>2050</v>
      </c>
    </row>
    <row r="386" spans="1:9" x14ac:dyDescent="0.25">
      <c r="A386" s="508" t="s">
        <v>443</v>
      </c>
      <c r="B386" s="509"/>
      <c r="C386" s="509"/>
      <c r="D386" s="510"/>
      <c r="E386" s="42">
        <f>E387</f>
        <v>1100</v>
      </c>
      <c r="F386" s="42">
        <f>F387</f>
        <v>1000</v>
      </c>
      <c r="G386" s="45">
        <f t="shared" ref="G386" si="180">G387</f>
        <v>2100</v>
      </c>
      <c r="H386" s="42">
        <f>H387</f>
        <v>-100</v>
      </c>
      <c r="I386" s="42">
        <f>G386+H386</f>
        <v>2000</v>
      </c>
    </row>
    <row r="387" spans="1:9" ht="15" customHeight="1" x14ac:dyDescent="0.25">
      <c r="A387" s="518" t="s">
        <v>670</v>
      </c>
      <c r="B387" s="519"/>
      <c r="C387" s="519"/>
      <c r="D387" s="520"/>
      <c r="E387" s="28">
        <f t="shared" ref="E387:G387" si="181">E390</f>
        <v>1100</v>
      </c>
      <c r="F387" s="28">
        <f t="shared" si="181"/>
        <v>1000</v>
      </c>
      <c r="G387" s="401">
        <f t="shared" si="181"/>
        <v>2100</v>
      </c>
      <c r="H387" s="36">
        <f>H390</f>
        <v>-100</v>
      </c>
      <c r="I387" s="36">
        <f>G387+H387</f>
        <v>2000</v>
      </c>
    </row>
    <row r="388" spans="1:9" x14ac:dyDescent="0.25">
      <c r="A388" s="573" t="s">
        <v>469</v>
      </c>
      <c r="B388" s="574"/>
      <c r="C388" s="574"/>
      <c r="D388" s="574"/>
      <c r="E388" s="574"/>
      <c r="F388" s="574"/>
      <c r="G388" s="574"/>
      <c r="H388" s="574"/>
      <c r="I388" s="575"/>
    </row>
    <row r="389" spans="1:9" x14ac:dyDescent="0.25">
      <c r="A389" s="15" t="s">
        <v>69</v>
      </c>
      <c r="B389" s="15"/>
      <c r="C389" s="15"/>
      <c r="D389" s="15"/>
      <c r="E389" s="26">
        <f>E387</f>
        <v>1100</v>
      </c>
      <c r="F389" s="26">
        <f t="shared" ref="F389:G389" si="182">F387</f>
        <v>1000</v>
      </c>
      <c r="G389" s="409">
        <f t="shared" si="182"/>
        <v>2100</v>
      </c>
      <c r="H389" s="26">
        <v>-100</v>
      </c>
      <c r="I389" s="26">
        <f>I390</f>
        <v>2000</v>
      </c>
    </row>
    <row r="390" spans="1:9" x14ac:dyDescent="0.25">
      <c r="A390" s="496">
        <v>3</v>
      </c>
      <c r="B390" s="497"/>
      <c r="C390" s="498"/>
      <c r="D390" s="11" t="s">
        <v>19</v>
      </c>
      <c r="E390" s="19">
        <f>E391</f>
        <v>1100</v>
      </c>
      <c r="F390" s="19">
        <f t="shared" ref="F390:G390" si="183">F391</f>
        <v>1000</v>
      </c>
      <c r="G390" s="405">
        <f t="shared" si="183"/>
        <v>2100</v>
      </c>
      <c r="H390" s="19">
        <f>H391</f>
        <v>-100</v>
      </c>
      <c r="I390" s="19">
        <f>G390+H390</f>
        <v>2000</v>
      </c>
    </row>
    <row r="391" spans="1:9" x14ac:dyDescent="0.25">
      <c r="A391" s="502">
        <v>38</v>
      </c>
      <c r="B391" s="503"/>
      <c r="C391" s="504"/>
      <c r="D391" s="11" t="s">
        <v>52</v>
      </c>
      <c r="E391" s="19">
        <v>1100</v>
      </c>
      <c r="F391" s="19">
        <v>1000</v>
      </c>
      <c r="G391" s="405">
        <f>E391+F391</f>
        <v>2100</v>
      </c>
      <c r="H391" s="19">
        <v>-100</v>
      </c>
      <c r="I391" s="19">
        <f>G391+H391</f>
        <v>2000</v>
      </c>
    </row>
    <row r="392" spans="1:9" x14ac:dyDescent="0.25">
      <c r="A392" s="508" t="s">
        <v>444</v>
      </c>
      <c r="B392" s="509"/>
      <c r="C392" s="509"/>
      <c r="D392" s="510"/>
      <c r="E392" s="40">
        <f>E393</f>
        <v>20612</v>
      </c>
      <c r="F392" s="40">
        <f t="shared" ref="F392:G392" si="184">F393</f>
        <v>-14612</v>
      </c>
      <c r="G392" s="424">
        <f t="shared" si="184"/>
        <v>4000</v>
      </c>
      <c r="H392" s="40">
        <f>H393</f>
        <v>-1000</v>
      </c>
      <c r="I392" s="40">
        <f>I393</f>
        <v>3000</v>
      </c>
    </row>
    <row r="393" spans="1:9" ht="15" customHeight="1" x14ac:dyDescent="0.25">
      <c r="A393" s="513" t="s">
        <v>671</v>
      </c>
      <c r="B393" s="514"/>
      <c r="C393" s="514"/>
      <c r="D393" s="515"/>
      <c r="E393" s="27">
        <f t="shared" ref="E393:G393" si="185">E396</f>
        <v>20612</v>
      </c>
      <c r="F393" s="27">
        <f t="shared" si="185"/>
        <v>-14612</v>
      </c>
      <c r="G393" s="442">
        <f t="shared" si="185"/>
        <v>4000</v>
      </c>
      <c r="H393" s="443">
        <f>H396</f>
        <v>-1000</v>
      </c>
      <c r="I393" s="443">
        <f>G393+H393</f>
        <v>3000</v>
      </c>
    </row>
    <row r="394" spans="1:9" x14ac:dyDescent="0.25">
      <c r="A394" s="185" t="s">
        <v>470</v>
      </c>
      <c r="B394" s="182"/>
      <c r="C394" s="182"/>
      <c r="D394" s="183"/>
      <c r="E394" s="184"/>
      <c r="F394" s="184"/>
      <c r="G394" s="413"/>
      <c r="H394" s="428"/>
      <c r="I394" s="428"/>
    </row>
    <row r="395" spans="1:9" x14ac:dyDescent="0.25">
      <c r="A395" s="15" t="s">
        <v>69</v>
      </c>
      <c r="B395" s="15"/>
      <c r="C395" s="15"/>
      <c r="D395" s="15"/>
      <c r="E395" s="26">
        <f>E393</f>
        <v>20612</v>
      </c>
      <c r="F395" s="26">
        <f t="shared" ref="F395:G395" si="186">F393</f>
        <v>-14612</v>
      </c>
      <c r="G395" s="409">
        <f t="shared" si="186"/>
        <v>4000</v>
      </c>
      <c r="H395" s="26">
        <f>H396</f>
        <v>-1000</v>
      </c>
      <c r="I395" s="26">
        <f>G395+H395</f>
        <v>3000</v>
      </c>
    </row>
    <row r="396" spans="1:9" x14ac:dyDescent="0.25">
      <c r="A396" s="496">
        <v>3</v>
      </c>
      <c r="B396" s="497"/>
      <c r="C396" s="498"/>
      <c r="D396" s="11" t="s">
        <v>19</v>
      </c>
      <c r="E396" s="12">
        <f>E397</f>
        <v>20612</v>
      </c>
      <c r="F396" s="12">
        <f t="shared" ref="F396:G396" si="187">F397</f>
        <v>-14612</v>
      </c>
      <c r="G396" s="374">
        <f t="shared" si="187"/>
        <v>4000</v>
      </c>
      <c r="H396" s="12">
        <f>H397</f>
        <v>-1000</v>
      </c>
      <c r="I396" s="12">
        <f>G396+H396</f>
        <v>3000</v>
      </c>
    </row>
    <row r="397" spans="1:9" x14ac:dyDescent="0.25">
      <c r="A397" s="502">
        <v>38</v>
      </c>
      <c r="B397" s="503"/>
      <c r="C397" s="504"/>
      <c r="D397" s="11" t="s">
        <v>52</v>
      </c>
      <c r="E397" s="19">
        <v>20612</v>
      </c>
      <c r="F397" s="19">
        <v>-14612</v>
      </c>
      <c r="G397" s="405">
        <v>4000</v>
      </c>
      <c r="H397" s="19">
        <f>-4000+3000</f>
        <v>-1000</v>
      </c>
      <c r="I397" s="12">
        <f>G397+H397</f>
        <v>3000</v>
      </c>
    </row>
    <row r="398" spans="1:9" x14ac:dyDescent="0.25">
      <c r="A398" s="169"/>
      <c r="B398" s="170"/>
      <c r="C398" s="170"/>
      <c r="D398" s="11"/>
      <c r="E398" s="19"/>
      <c r="F398" s="19"/>
      <c r="G398" s="405"/>
      <c r="H398" s="19"/>
      <c r="I398" s="12"/>
    </row>
    <row r="399" spans="1:9" x14ac:dyDescent="0.25">
      <c r="A399" s="606" t="s">
        <v>112</v>
      </c>
      <c r="B399" s="607"/>
      <c r="C399" s="607"/>
      <c r="D399" s="608"/>
      <c r="E399" s="52">
        <f t="shared" ref="E399:G400" si="188">E400</f>
        <v>12000</v>
      </c>
      <c r="F399" s="52">
        <f t="shared" si="188"/>
        <v>-2502.89</v>
      </c>
      <c r="G399" s="425">
        <f t="shared" si="188"/>
        <v>9497.11</v>
      </c>
      <c r="H399" s="52"/>
      <c r="I399" s="52">
        <f>I400</f>
        <v>9497.11</v>
      </c>
    </row>
    <row r="400" spans="1:9" x14ac:dyDescent="0.25">
      <c r="A400" s="39" t="s">
        <v>445</v>
      </c>
      <c r="B400" s="39"/>
      <c r="C400" s="39"/>
      <c r="D400" s="39"/>
      <c r="E400" s="42">
        <f t="shared" si="188"/>
        <v>12000</v>
      </c>
      <c r="F400" s="42">
        <f t="shared" si="188"/>
        <v>-2502.89</v>
      </c>
      <c r="G400" s="45">
        <f t="shared" si="188"/>
        <v>9497.11</v>
      </c>
      <c r="H400" s="42"/>
      <c r="I400" s="42">
        <f>I401</f>
        <v>9497.11</v>
      </c>
    </row>
    <row r="401" spans="1:9" x14ac:dyDescent="0.25">
      <c r="A401" s="491" t="s">
        <v>672</v>
      </c>
      <c r="B401" s="492"/>
      <c r="C401" s="492"/>
      <c r="D401" s="493"/>
      <c r="E401" s="27">
        <f t="shared" ref="E401:G401" si="189">E404</f>
        <v>12000</v>
      </c>
      <c r="F401" s="27">
        <f t="shared" si="189"/>
        <v>-2502.89</v>
      </c>
      <c r="G401" s="442">
        <f t="shared" si="189"/>
        <v>9497.11</v>
      </c>
      <c r="H401" s="443"/>
      <c r="I401" s="443">
        <f>I403</f>
        <v>9497.11</v>
      </c>
    </row>
    <row r="402" spans="1:9" x14ac:dyDescent="0.25">
      <c r="A402" s="185" t="s">
        <v>471</v>
      </c>
      <c r="B402" s="182"/>
      <c r="C402" s="182"/>
      <c r="D402" s="183"/>
      <c r="E402" s="184"/>
      <c r="F402" s="184"/>
      <c r="G402" s="413"/>
      <c r="H402" s="428"/>
      <c r="I402" s="428"/>
    </row>
    <row r="403" spans="1:9" x14ac:dyDescent="0.25">
      <c r="A403" s="15" t="s">
        <v>69</v>
      </c>
      <c r="B403" s="15"/>
      <c r="C403" s="15"/>
      <c r="D403" s="15"/>
      <c r="E403" s="26">
        <f>E401</f>
        <v>12000</v>
      </c>
      <c r="F403" s="26">
        <f t="shared" ref="F403:G403" si="190">F401</f>
        <v>-2502.89</v>
      </c>
      <c r="G403" s="409">
        <f t="shared" si="190"/>
        <v>9497.11</v>
      </c>
      <c r="H403" s="26"/>
      <c r="I403" s="26">
        <f>I404</f>
        <v>9497.11</v>
      </c>
    </row>
    <row r="404" spans="1:9" x14ac:dyDescent="0.25">
      <c r="A404" s="496">
        <v>3</v>
      </c>
      <c r="B404" s="497"/>
      <c r="C404" s="498"/>
      <c r="D404" s="11" t="s">
        <v>19</v>
      </c>
      <c r="E404" s="12">
        <f>E405</f>
        <v>12000</v>
      </c>
      <c r="F404" s="12">
        <f t="shared" ref="F404:G404" si="191">F405</f>
        <v>-2502.89</v>
      </c>
      <c r="G404" s="374">
        <f t="shared" si="191"/>
        <v>9497.11</v>
      </c>
      <c r="H404" s="12"/>
      <c r="I404" s="12">
        <f>I405</f>
        <v>9497.11</v>
      </c>
    </row>
    <row r="405" spans="1:9" x14ac:dyDescent="0.25">
      <c r="A405" s="502">
        <v>38</v>
      </c>
      <c r="B405" s="503"/>
      <c r="C405" s="504"/>
      <c r="D405" s="11" t="s">
        <v>52</v>
      </c>
      <c r="E405" s="19">
        <v>12000</v>
      </c>
      <c r="F405" s="19">
        <v>-2502.89</v>
      </c>
      <c r="G405" s="405">
        <f>E405+F405</f>
        <v>9497.11</v>
      </c>
      <c r="H405" s="19"/>
      <c r="I405" s="19">
        <f>G405+H405</f>
        <v>9497.11</v>
      </c>
    </row>
    <row r="406" spans="1:9" x14ac:dyDescent="0.25">
      <c r="E406" s="7"/>
      <c r="F406" s="7"/>
      <c r="G406" s="7"/>
      <c r="H406" s="7"/>
      <c r="I406" s="7"/>
    </row>
    <row r="407" spans="1:9" x14ac:dyDescent="0.25">
      <c r="E407" s="7"/>
      <c r="F407" s="7"/>
      <c r="G407" s="7"/>
      <c r="H407" s="7"/>
      <c r="I407" s="7"/>
    </row>
    <row r="408" spans="1:9" x14ac:dyDescent="0.25">
      <c r="A408" s="545" t="s">
        <v>623</v>
      </c>
      <c r="B408" s="545"/>
      <c r="C408" s="545"/>
      <c r="D408" s="545"/>
      <c r="E408" s="545"/>
      <c r="F408" s="545"/>
      <c r="G408" s="545"/>
      <c r="H408" s="545"/>
      <c r="I408" s="545"/>
    </row>
    <row r="409" spans="1:9" x14ac:dyDescent="0.25">
      <c r="E409" s="7"/>
      <c r="F409" s="7"/>
      <c r="G409" s="7"/>
      <c r="H409" s="7"/>
      <c r="I409" s="7"/>
    </row>
    <row r="410" spans="1:9" x14ac:dyDescent="0.25">
      <c r="A410" s="545" t="s">
        <v>622</v>
      </c>
      <c r="B410" s="545"/>
      <c r="C410" s="545"/>
      <c r="D410" s="545"/>
      <c r="E410" s="545"/>
      <c r="F410" s="545"/>
      <c r="G410" s="545"/>
      <c r="H410" s="545"/>
      <c r="I410" s="545"/>
    </row>
    <row r="411" spans="1:9" x14ac:dyDescent="0.25">
      <c r="E411" s="7"/>
      <c r="F411" s="7"/>
      <c r="G411" s="7"/>
      <c r="H411" s="7"/>
      <c r="I411" s="7"/>
    </row>
    <row r="412" spans="1:9" x14ac:dyDescent="0.25">
      <c r="A412" s="62" t="s">
        <v>846</v>
      </c>
    </row>
    <row r="413" spans="1:9" x14ac:dyDescent="0.25">
      <c r="A413" s="649" t="s">
        <v>767</v>
      </c>
      <c r="B413" s="649"/>
      <c r="C413" s="649"/>
      <c r="D413" s="649"/>
      <c r="E413" s="649"/>
      <c r="F413" s="649"/>
      <c r="G413" s="649"/>
      <c r="H413" s="57"/>
      <c r="I413" s="57"/>
    </row>
    <row r="414" spans="1:9" x14ac:dyDescent="0.25">
      <c r="A414" s="57"/>
      <c r="B414" s="57"/>
      <c r="C414" s="57"/>
      <c r="D414" s="57"/>
      <c r="E414" s="57"/>
      <c r="F414" s="57"/>
      <c r="G414" s="57"/>
      <c r="H414" s="57"/>
      <c r="I414" s="57"/>
    </row>
    <row r="415" spans="1:9" x14ac:dyDescent="0.25">
      <c r="A415" s="546" t="s">
        <v>719</v>
      </c>
      <c r="B415" s="546"/>
      <c r="C415" s="546"/>
      <c r="D415" s="546"/>
      <c r="E415" s="546"/>
      <c r="F415" s="546"/>
      <c r="G415" s="546"/>
      <c r="H415" s="546"/>
      <c r="I415" s="546"/>
    </row>
    <row r="416" spans="1:9" x14ac:dyDescent="0.25">
      <c r="A416" s="546" t="s">
        <v>720</v>
      </c>
      <c r="B416" s="546"/>
      <c r="C416" s="546"/>
      <c r="D416" s="546"/>
      <c r="E416" s="546"/>
      <c r="F416" s="546"/>
      <c r="G416" s="546"/>
      <c r="H416" s="546"/>
      <c r="I416" s="546"/>
    </row>
    <row r="417" spans="1:9" x14ac:dyDescent="0.25">
      <c r="F417" s="7"/>
      <c r="G417" s="7"/>
      <c r="H417" s="7"/>
      <c r="I417" s="7"/>
    </row>
    <row r="418" spans="1:9" x14ac:dyDescent="0.25">
      <c r="F418" s="7"/>
      <c r="G418" s="7"/>
      <c r="H418" s="7"/>
      <c r="I418" s="7"/>
    </row>
    <row r="419" spans="1:9" s="458" customFormat="1" x14ac:dyDescent="0.25">
      <c r="A419" s="80" t="s">
        <v>873</v>
      </c>
      <c r="B419" s="80"/>
      <c r="C419" s="80"/>
      <c r="D419" s="80"/>
      <c r="E419" s="80"/>
      <c r="F419" s="81"/>
      <c r="G419" s="81"/>
      <c r="H419" s="81"/>
      <c r="I419" s="81"/>
    </row>
    <row r="420" spans="1:9" s="458" customFormat="1" x14ac:dyDescent="0.25">
      <c r="A420" s="80" t="s">
        <v>876</v>
      </c>
      <c r="B420" s="80"/>
      <c r="C420" s="80"/>
      <c r="D420" s="80"/>
      <c r="E420" s="80"/>
      <c r="F420" s="457"/>
      <c r="G420" s="457"/>
      <c r="H420" s="457"/>
      <c r="I420" s="457"/>
    </row>
    <row r="421" spans="1:9" s="458" customFormat="1" x14ac:dyDescent="0.25">
      <c r="A421" s="80" t="s">
        <v>875</v>
      </c>
      <c r="B421" s="80"/>
      <c r="C421" s="80"/>
      <c r="D421" s="80"/>
      <c r="E421" s="80"/>
      <c r="F421" s="457"/>
      <c r="G421" s="457"/>
      <c r="H421" s="457"/>
      <c r="I421" s="457"/>
    </row>
    <row r="422" spans="1:9" x14ac:dyDescent="0.25">
      <c r="F422" s="65"/>
      <c r="G422" s="65"/>
      <c r="H422" s="65"/>
      <c r="I422" s="65"/>
    </row>
    <row r="423" spans="1:9" x14ac:dyDescent="0.25">
      <c r="F423" s="65"/>
      <c r="G423" s="127"/>
      <c r="H423" s="543" t="s">
        <v>768</v>
      </c>
      <c r="I423" s="543"/>
    </row>
    <row r="424" spans="1:9" x14ac:dyDescent="0.25">
      <c r="G424" s="73"/>
      <c r="H424" s="544" t="s">
        <v>721</v>
      </c>
      <c r="I424" s="544"/>
    </row>
  </sheetData>
  <mergeCells count="325">
    <mergeCell ref="F349:F350"/>
    <mergeCell ref="F319:F320"/>
    <mergeCell ref="F302:F303"/>
    <mergeCell ref="A181:D181"/>
    <mergeCell ref="A115:D115"/>
    <mergeCell ref="A318:D318"/>
    <mergeCell ref="A319:D319"/>
    <mergeCell ref="A120:D120"/>
    <mergeCell ref="A117:D117"/>
    <mergeCell ref="A122:D122"/>
    <mergeCell ref="A125:D125"/>
    <mergeCell ref="A235:C235"/>
    <mergeCell ref="A221:D221"/>
    <mergeCell ref="A225:C225"/>
    <mergeCell ref="A226:C226"/>
    <mergeCell ref="A227:C227"/>
    <mergeCell ref="A283:C283"/>
    <mergeCell ref="A284:C284"/>
    <mergeCell ref="E156:E157"/>
    <mergeCell ref="F156:F157"/>
    <mergeCell ref="E202:E203"/>
    <mergeCell ref="F202:F203"/>
    <mergeCell ref="E319:E320"/>
    <mergeCell ref="A303:D303"/>
    <mergeCell ref="G156:G157"/>
    <mergeCell ref="A413:G413"/>
    <mergeCell ref="A57:D57"/>
    <mergeCell ref="A59:D59"/>
    <mergeCell ref="A60:C60"/>
    <mergeCell ref="A61:C61"/>
    <mergeCell ref="A64:D64"/>
    <mergeCell ref="A62:D62"/>
    <mergeCell ref="A65:C65"/>
    <mergeCell ref="A66:C66"/>
    <mergeCell ref="F243:F245"/>
    <mergeCell ref="G243:G245"/>
    <mergeCell ref="A258:C258"/>
    <mergeCell ref="A251:C251"/>
    <mergeCell ref="A267:C267"/>
    <mergeCell ref="A268:C268"/>
    <mergeCell ref="E200:E201"/>
    <mergeCell ref="A129:C129"/>
    <mergeCell ref="A135:C135"/>
    <mergeCell ref="A104:D104"/>
    <mergeCell ref="A124:C124"/>
    <mergeCell ref="A108:D108"/>
    <mergeCell ref="G87:G88"/>
    <mergeCell ref="E87:E88"/>
    <mergeCell ref="G101:G102"/>
    <mergeCell ref="E104:E105"/>
    <mergeCell ref="F104:F105"/>
    <mergeCell ref="G104:G105"/>
    <mergeCell ref="A87:D87"/>
    <mergeCell ref="F87:F88"/>
    <mergeCell ref="A94:D94"/>
    <mergeCell ref="A95:D95"/>
    <mergeCell ref="A97:D97"/>
    <mergeCell ref="A98:C98"/>
    <mergeCell ref="A99:C99"/>
    <mergeCell ref="A102:D102"/>
    <mergeCell ref="A103:D103"/>
    <mergeCell ref="E101:E102"/>
    <mergeCell ref="F101:F102"/>
    <mergeCell ref="A90:D90"/>
    <mergeCell ref="A41:C41"/>
    <mergeCell ref="A42:C42"/>
    <mergeCell ref="A27:D27"/>
    <mergeCell ref="A38:D38"/>
    <mergeCell ref="A37:D37"/>
    <mergeCell ref="A78:D78"/>
    <mergeCell ref="A144:D144"/>
    <mergeCell ref="A138:D138"/>
    <mergeCell ref="A139:D139"/>
    <mergeCell ref="A140:C140"/>
    <mergeCell ref="A141:C141"/>
    <mergeCell ref="A112:D112"/>
    <mergeCell ref="A133:D133"/>
    <mergeCell ref="A136:D136"/>
    <mergeCell ref="A110:D110"/>
    <mergeCell ref="A105:D105"/>
    <mergeCell ref="A107:D107"/>
    <mergeCell ref="A142:D142"/>
    <mergeCell ref="A109:D109"/>
    <mergeCell ref="A118:C118"/>
    <mergeCell ref="A119:C119"/>
    <mergeCell ref="A123:C123"/>
    <mergeCell ref="A47:C47"/>
    <mergeCell ref="A114:C114"/>
    <mergeCell ref="A5:G5"/>
    <mergeCell ref="A10:D10"/>
    <mergeCell ref="A6:I6"/>
    <mergeCell ref="A7:I7"/>
    <mergeCell ref="A84:C84"/>
    <mergeCell ref="A43:D43"/>
    <mergeCell ref="A93:C93"/>
    <mergeCell ref="A92:C92"/>
    <mergeCell ref="A49:C49"/>
    <mergeCell ref="A18:C18"/>
    <mergeCell ref="A25:C25"/>
    <mergeCell ref="A20:C20"/>
    <mergeCell ref="A19:C19"/>
    <mergeCell ref="A24:C24"/>
    <mergeCell ref="A23:D23"/>
    <mergeCell ref="A82:C82"/>
    <mergeCell ref="A83:C83"/>
    <mergeCell ref="A79:D79"/>
    <mergeCell ref="A81:D81"/>
    <mergeCell ref="A39:D39"/>
    <mergeCell ref="A67:D67"/>
    <mergeCell ref="A69:D69"/>
    <mergeCell ref="A70:C70"/>
    <mergeCell ref="A71:C71"/>
    <mergeCell ref="A9:C9"/>
    <mergeCell ref="A17:C17"/>
    <mergeCell ref="A11:D11"/>
    <mergeCell ref="A12:D12"/>
    <mergeCell ref="A14:D14"/>
    <mergeCell ref="A16:D16"/>
    <mergeCell ref="A21:D21"/>
    <mergeCell ref="A26:C26"/>
    <mergeCell ref="A91:C91"/>
    <mergeCell ref="A45:D45"/>
    <mergeCell ref="A46:C46"/>
    <mergeCell ref="A48:C48"/>
    <mergeCell ref="A73:D73"/>
    <mergeCell ref="A76:C76"/>
    <mergeCell ref="A72:D72"/>
    <mergeCell ref="A75:D75"/>
    <mergeCell ref="A77:C77"/>
    <mergeCell ref="A31:C31"/>
    <mergeCell ref="A30:C30"/>
    <mergeCell ref="A32:D32"/>
    <mergeCell ref="A34:D34"/>
    <mergeCell ref="A88:D88"/>
    <mergeCell ref="A35:D35"/>
    <mergeCell ref="A40:C40"/>
    <mergeCell ref="G202:G203"/>
    <mergeCell ref="A404:C404"/>
    <mergeCell ref="A383:C383"/>
    <mergeCell ref="A384:C384"/>
    <mergeCell ref="A385:C385"/>
    <mergeCell ref="A386:D386"/>
    <mergeCell ref="A387:D387"/>
    <mergeCell ref="A372:C372"/>
    <mergeCell ref="A373:C373"/>
    <mergeCell ref="A378:C378"/>
    <mergeCell ref="A379:C379"/>
    <mergeCell ref="A382:D382"/>
    <mergeCell ref="A392:D392"/>
    <mergeCell ref="A380:D380"/>
    <mergeCell ref="A374:C374"/>
    <mergeCell ref="A390:C390"/>
    <mergeCell ref="A391:C391"/>
    <mergeCell ref="A393:D393"/>
    <mergeCell ref="A396:C396"/>
    <mergeCell ref="A397:C397"/>
    <mergeCell ref="A399:D399"/>
    <mergeCell ref="A388:I388"/>
    <mergeCell ref="E349:E350"/>
    <mergeCell ref="E302:E303"/>
    <mergeCell ref="A405:C405"/>
    <mergeCell ref="A153:C153"/>
    <mergeCell ref="A148:C148"/>
    <mergeCell ref="A262:D262"/>
    <mergeCell ref="A175:C175"/>
    <mergeCell ref="A176:C176"/>
    <mergeCell ref="A185:D185"/>
    <mergeCell ref="A190:C190"/>
    <mergeCell ref="A191:C191"/>
    <mergeCell ref="A274:C274"/>
    <mergeCell ref="A149:D149"/>
    <mergeCell ref="A150:D150"/>
    <mergeCell ref="A163:D163"/>
    <mergeCell ref="A167:C167"/>
    <mergeCell ref="A168:C168"/>
    <mergeCell ref="A169:D170"/>
    <mergeCell ref="A199:C199"/>
    <mergeCell ref="A236:C236"/>
    <mergeCell ref="A207:C207"/>
    <mergeCell ref="A208:C208"/>
    <mergeCell ref="A366:C366"/>
    <mergeCell ref="A353:C353"/>
    <mergeCell ref="A354:C354"/>
    <mergeCell ref="A338:C338"/>
    <mergeCell ref="G302:G303"/>
    <mergeCell ref="A269:D269"/>
    <mergeCell ref="A329:C329"/>
    <mergeCell ref="A281:C281"/>
    <mergeCell ref="A282:C282"/>
    <mergeCell ref="A277:D277"/>
    <mergeCell ref="A316:C316"/>
    <mergeCell ref="A340:C340"/>
    <mergeCell ref="A341:D341"/>
    <mergeCell ref="G319:G320"/>
    <mergeCell ref="E331:E332"/>
    <mergeCell ref="F331:F332"/>
    <mergeCell ref="G331:G332"/>
    <mergeCell ref="A302:D302"/>
    <mergeCell ref="A311:C311"/>
    <mergeCell ref="A312:C312"/>
    <mergeCell ref="A330:C330"/>
    <mergeCell ref="A332:D332"/>
    <mergeCell ref="A334:D334"/>
    <mergeCell ref="A317:C317"/>
    <mergeCell ref="A339:C339"/>
    <mergeCell ref="A323:C323"/>
    <mergeCell ref="A324:C324"/>
    <mergeCell ref="A313:D313"/>
    <mergeCell ref="G177:G178"/>
    <mergeCell ref="H177:H178"/>
    <mergeCell ref="I177:I178"/>
    <mergeCell ref="H169:H170"/>
    <mergeCell ref="I169:I170"/>
    <mergeCell ref="H200:H201"/>
    <mergeCell ref="I200:I201"/>
    <mergeCell ref="E169:E170"/>
    <mergeCell ref="F169:F170"/>
    <mergeCell ref="G169:G170"/>
    <mergeCell ref="F200:F201"/>
    <mergeCell ref="G200:G201"/>
    <mergeCell ref="H349:H350"/>
    <mergeCell ref="I349:I350"/>
    <mergeCell ref="H319:H320"/>
    <mergeCell ref="I319:I320"/>
    <mergeCell ref="H302:H303"/>
    <mergeCell ref="I302:I303"/>
    <mergeCell ref="A231:I231"/>
    <mergeCell ref="A183:C183"/>
    <mergeCell ref="A184:C184"/>
    <mergeCell ref="G349:G350"/>
    <mergeCell ref="E243:E245"/>
    <mergeCell ref="A234:C234"/>
    <mergeCell ref="A241:C241"/>
    <mergeCell ref="A250:C250"/>
    <mergeCell ref="A275:C275"/>
    <mergeCell ref="A276:D276"/>
    <mergeCell ref="A293:C293"/>
    <mergeCell ref="A294:C294"/>
    <mergeCell ref="A295:C295"/>
    <mergeCell ref="A345:C345"/>
    <mergeCell ref="A259:C259"/>
    <mergeCell ref="A243:D245"/>
    <mergeCell ref="A255:D255"/>
    <mergeCell ref="A242:C242"/>
    <mergeCell ref="H423:I423"/>
    <mergeCell ref="H424:I424"/>
    <mergeCell ref="A408:I408"/>
    <mergeCell ref="A410:I410"/>
    <mergeCell ref="A415:I415"/>
    <mergeCell ref="A416:I416"/>
    <mergeCell ref="A2:I2"/>
    <mergeCell ref="A4:I4"/>
    <mergeCell ref="H156:H157"/>
    <mergeCell ref="I156:I157"/>
    <mergeCell ref="H104:H105"/>
    <mergeCell ref="I104:I105"/>
    <mergeCell ref="H101:H102"/>
    <mergeCell ref="I101:I102"/>
    <mergeCell ref="H87:H88"/>
    <mergeCell ref="I87:I88"/>
    <mergeCell ref="A173:D173"/>
    <mergeCell ref="H202:H203"/>
    <mergeCell ref="I202:I203"/>
    <mergeCell ref="H243:H245"/>
    <mergeCell ref="I243:I245"/>
    <mergeCell ref="A308:C308"/>
    <mergeCell ref="H331:H332"/>
    <mergeCell ref="I331:I332"/>
    <mergeCell ref="A401:D401"/>
    <mergeCell ref="A350:D350"/>
    <mergeCell ref="A326:D326"/>
    <mergeCell ref="A288:D288"/>
    <mergeCell ref="A230:D230"/>
    <mergeCell ref="A210:D210"/>
    <mergeCell ref="A156:D156"/>
    <mergeCell ref="A157:D157"/>
    <mergeCell ref="A362:D362"/>
    <mergeCell ref="A361:D361"/>
    <mergeCell ref="A356:D356"/>
    <mergeCell ref="A196:D196"/>
    <mergeCell ref="A192:D192"/>
    <mergeCell ref="A198:C198"/>
    <mergeCell ref="A177:D178"/>
    <mergeCell ref="A200:D200"/>
    <mergeCell ref="A238:D238"/>
    <mergeCell ref="A249:C249"/>
    <mergeCell ref="A296:C296"/>
    <mergeCell ref="A297:C297"/>
    <mergeCell ref="A298:C298"/>
    <mergeCell ref="A260:C260"/>
    <mergeCell ref="A342:D342"/>
    <mergeCell ref="A161:C161"/>
    <mergeCell ref="A375:D375"/>
    <mergeCell ref="A369:D369"/>
    <mergeCell ref="A130:D130"/>
    <mergeCell ref="A145:D145"/>
    <mergeCell ref="A134:C134"/>
    <mergeCell ref="A365:C365"/>
    <mergeCell ref="A346:C346"/>
    <mergeCell ref="A307:C307"/>
    <mergeCell ref="A309:C309"/>
    <mergeCell ref="A320:D320"/>
    <mergeCell ref="A147:C147"/>
    <mergeCell ref="A214:C214"/>
    <mergeCell ref="A215:C215"/>
    <mergeCell ref="A219:C219"/>
    <mergeCell ref="A220:C220"/>
    <mergeCell ref="A203:D203"/>
    <mergeCell ref="A216:D216"/>
    <mergeCell ref="A50:D50"/>
    <mergeCell ref="A52:D52"/>
    <mergeCell ref="A53:C53"/>
    <mergeCell ref="A54:C54"/>
    <mergeCell ref="A55:C55"/>
    <mergeCell ref="A56:C56"/>
    <mergeCell ref="A359:C359"/>
    <mergeCell ref="A360:C360"/>
    <mergeCell ref="A202:D202"/>
    <mergeCell ref="A237:D237"/>
    <mergeCell ref="A228:C228"/>
    <mergeCell ref="A213:C213"/>
    <mergeCell ref="A111:D111"/>
    <mergeCell ref="A113:C113"/>
    <mergeCell ref="A128:C128"/>
    <mergeCell ref="A127:D127"/>
  </mergeCells>
  <pageMargins left="0.70866141732283472" right="0.11811023622047245" top="0.55118110236220474" bottom="0.55118110236220474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DBDFA-8CD2-4D2C-A27D-84E45FB8A7FF}">
  <dimension ref="A1:R75"/>
  <sheetViews>
    <sheetView showFormulas="1" zoomScale="110" zoomScaleNormal="110" workbookViewId="0">
      <selection activeCell="F3" sqref="F3"/>
    </sheetView>
  </sheetViews>
  <sheetFormatPr defaultRowHeight="15" x14ac:dyDescent="0.25"/>
  <cols>
    <col min="4" max="4" width="1.7109375" customWidth="1"/>
    <col min="5" max="5" width="5" customWidth="1"/>
    <col min="6" max="6" width="8.42578125" style="267" customWidth="1"/>
    <col min="7" max="7" width="8" style="267" customWidth="1"/>
    <col min="8" max="8" width="9" customWidth="1"/>
    <col min="9" max="9" width="6.85546875" customWidth="1"/>
    <col min="10" max="10" width="14" hidden="1" customWidth="1"/>
    <col min="11" max="11" width="10" customWidth="1"/>
    <col min="12" max="12" width="8.7109375" customWidth="1"/>
    <col min="13" max="13" width="10.85546875" customWidth="1"/>
    <col min="14" max="14" width="10.140625" style="7" bestFit="1" customWidth="1"/>
    <col min="15" max="17" width="9.140625" style="7"/>
    <col min="18" max="18" width="86.7109375" bestFit="1" customWidth="1"/>
    <col min="20" max="20" width="47.28515625" customWidth="1"/>
  </cols>
  <sheetData>
    <row r="1" spans="1:18" ht="54" customHeight="1" x14ac:dyDescent="0.25">
      <c r="A1" s="63"/>
      <c r="B1" s="63"/>
      <c r="C1" s="63"/>
      <c r="D1" s="63"/>
      <c r="E1" s="63"/>
      <c r="F1" s="195" t="s">
        <v>722</v>
      </c>
      <c r="G1" s="369" t="s">
        <v>791</v>
      </c>
      <c r="H1" s="370" t="s">
        <v>477</v>
      </c>
      <c r="I1" s="370" t="s">
        <v>472</v>
      </c>
      <c r="J1" s="370" t="s">
        <v>476</v>
      </c>
      <c r="K1" s="370" t="s">
        <v>477</v>
      </c>
      <c r="L1" s="371" t="s">
        <v>472</v>
      </c>
      <c r="M1" s="12" t="s">
        <v>792</v>
      </c>
    </row>
    <row r="2" spans="1:18" x14ac:dyDescent="0.25">
      <c r="A2" s="663" t="s">
        <v>1</v>
      </c>
      <c r="B2" s="663"/>
      <c r="C2" s="663"/>
      <c r="D2" s="663"/>
      <c r="E2" s="664"/>
      <c r="F2" s="31">
        <f>F3+F9+F30+F45+F54</f>
        <v>400349.8</v>
      </c>
      <c r="G2" s="31">
        <f>G3+G9+G30+G45+G54</f>
        <v>832283.53999999992</v>
      </c>
      <c r="H2" s="31">
        <f>H3+H9+H30+H45+H54</f>
        <v>1705161</v>
      </c>
      <c r="I2" s="31">
        <f>I3+I9+I30+I45+I54</f>
        <v>82492</v>
      </c>
      <c r="J2" s="31" t="e">
        <f>J3+J9+J30+J45</f>
        <v>#REF!</v>
      </c>
      <c r="K2" s="372">
        <f>K3+K9+K30+K45+K54</f>
        <v>1787653</v>
      </c>
      <c r="L2" s="372">
        <f t="shared" ref="L2:M2" si="0">L3+L9+L30+L45+L54</f>
        <v>-10940</v>
      </c>
      <c r="M2" s="372">
        <f t="shared" si="0"/>
        <v>1776713</v>
      </c>
    </row>
    <row r="3" spans="1:18" x14ac:dyDescent="0.25">
      <c r="A3" s="140">
        <v>61</v>
      </c>
      <c r="B3" s="665" t="s">
        <v>134</v>
      </c>
      <c r="C3" s="666"/>
      <c r="D3" s="666"/>
      <c r="E3" s="666"/>
      <c r="F3" s="144">
        <f t="shared" ref="F3:K3" si="1">F4+F5+F6+F7+F8</f>
        <v>90773.109999999986</v>
      </c>
      <c r="G3" s="144">
        <f t="shared" si="1"/>
        <v>229506.96000000002</v>
      </c>
      <c r="H3" s="141">
        <f t="shared" si="1"/>
        <v>277300</v>
      </c>
      <c r="I3" s="141">
        <f t="shared" si="1"/>
        <v>32650</v>
      </c>
      <c r="J3" s="141">
        <f t="shared" si="1"/>
        <v>309950</v>
      </c>
      <c r="K3" s="373">
        <f t="shared" si="1"/>
        <v>309950</v>
      </c>
      <c r="L3" s="373">
        <f t="shared" ref="L3" si="2">L4+L5+L6+L7+L8</f>
        <v>13000</v>
      </c>
      <c r="M3" s="373">
        <f>M4+M5+M6+M7+M8</f>
        <v>322950</v>
      </c>
    </row>
    <row r="4" spans="1:18" x14ac:dyDescent="0.25">
      <c r="A4" s="67">
        <v>6111</v>
      </c>
      <c r="B4" s="667" t="s">
        <v>135</v>
      </c>
      <c r="C4" s="667"/>
      <c r="D4" s="667"/>
      <c r="E4" s="657"/>
      <c r="F4" s="68">
        <v>134523.49</v>
      </c>
      <c r="G4" s="68">
        <v>268637.01</v>
      </c>
      <c r="H4" s="12">
        <f>300000+3000</f>
        <v>303000</v>
      </c>
      <c r="I4" s="12">
        <f>20000+10000+10000+4000</f>
        <v>44000</v>
      </c>
      <c r="J4" s="12">
        <f>H4+I4</f>
        <v>347000</v>
      </c>
      <c r="K4" s="374">
        <f>H4+I4</f>
        <v>347000</v>
      </c>
      <c r="L4" s="375">
        <v>13000</v>
      </c>
      <c r="M4" s="12">
        <f>K4+L4</f>
        <v>360000</v>
      </c>
      <c r="N4" s="7" t="s">
        <v>798</v>
      </c>
    </row>
    <row r="5" spans="1:18" x14ac:dyDescent="0.25">
      <c r="A5" s="67"/>
      <c r="B5" s="667" t="s">
        <v>136</v>
      </c>
      <c r="C5" s="667"/>
      <c r="D5" s="667"/>
      <c r="E5" s="657"/>
      <c r="F5" s="68">
        <v>-51314.54</v>
      </c>
      <c r="G5" s="68">
        <v>-49695.519999999997</v>
      </c>
      <c r="H5" s="12">
        <v>-40000</v>
      </c>
      <c r="I5" s="12">
        <v>-11350</v>
      </c>
      <c r="J5" s="12">
        <f>H5+I5</f>
        <v>-51350</v>
      </c>
      <c r="K5" s="374">
        <f t="shared" ref="K5:K8" si="3">H5+I5</f>
        <v>-51350</v>
      </c>
      <c r="L5" s="12"/>
      <c r="M5" s="12">
        <f t="shared" ref="M5:M8" si="4">K5+L5</f>
        <v>-51350</v>
      </c>
    </row>
    <row r="6" spans="1:18" x14ac:dyDescent="0.25">
      <c r="A6" s="67">
        <v>6131</v>
      </c>
      <c r="B6" s="67" t="s">
        <v>137</v>
      </c>
      <c r="C6" s="67"/>
      <c r="D6" s="67"/>
      <c r="E6" s="69"/>
      <c r="F6" s="68">
        <v>318</v>
      </c>
      <c r="G6" s="68">
        <v>642.36</v>
      </c>
      <c r="H6" s="12">
        <v>800</v>
      </c>
      <c r="I6" s="12"/>
      <c r="J6" s="12">
        <f>H6+I6</f>
        <v>800</v>
      </c>
      <c r="K6" s="374">
        <f t="shared" si="3"/>
        <v>800</v>
      </c>
      <c r="L6" s="12"/>
      <c r="M6" s="12">
        <f t="shared" si="4"/>
        <v>800</v>
      </c>
      <c r="R6" s="7" t="e">
        <f>K4+K5+K6+K7+K8+K11+K13+K14+K16+K17+K18+K19+K21+K22+K23+K24+K25+K26+K27+K29+K31+K33+K34+K35+K36+K37+K38+K39+K40+K41+#REF!+K42+K43+K44+K47+K49+K50+K51+K52+K53+K58</f>
        <v>#REF!</v>
      </c>
    </row>
    <row r="7" spans="1:18" x14ac:dyDescent="0.25">
      <c r="A7" s="67">
        <v>6134</v>
      </c>
      <c r="B7" s="657" t="s">
        <v>138</v>
      </c>
      <c r="C7" s="658"/>
      <c r="D7" s="658"/>
      <c r="E7" s="658"/>
      <c r="F7" s="68">
        <v>5685.72</v>
      </c>
      <c r="G7" s="68">
        <v>7273.79</v>
      </c>
      <c r="H7" s="12">
        <v>10000</v>
      </c>
      <c r="I7" s="12"/>
      <c r="J7" s="12">
        <f>H7+I7</f>
        <v>10000</v>
      </c>
      <c r="K7" s="374">
        <f t="shared" si="3"/>
        <v>10000</v>
      </c>
      <c r="L7" s="12"/>
      <c r="M7" s="12">
        <f t="shared" si="4"/>
        <v>10000</v>
      </c>
    </row>
    <row r="8" spans="1:18" x14ac:dyDescent="0.25">
      <c r="A8" s="67">
        <v>6142</v>
      </c>
      <c r="B8" s="657" t="s">
        <v>139</v>
      </c>
      <c r="C8" s="658"/>
      <c r="D8" s="658"/>
      <c r="E8" s="658"/>
      <c r="F8" s="68">
        <v>1560.44</v>
      </c>
      <c r="G8" s="68">
        <v>2649.32</v>
      </c>
      <c r="H8" s="12">
        <v>3500</v>
      </c>
      <c r="I8" s="12"/>
      <c r="J8" s="12">
        <f>H8+I8</f>
        <v>3500</v>
      </c>
      <c r="K8" s="374">
        <f t="shared" si="3"/>
        <v>3500</v>
      </c>
      <c r="L8" s="12"/>
      <c r="M8" s="12">
        <f t="shared" si="4"/>
        <v>3500</v>
      </c>
    </row>
    <row r="9" spans="1:18" x14ac:dyDescent="0.25">
      <c r="A9" s="136">
        <v>63</v>
      </c>
      <c r="B9" s="137" t="s">
        <v>140</v>
      </c>
      <c r="C9" s="136"/>
      <c r="D9" s="136"/>
      <c r="E9" s="255"/>
      <c r="F9" s="659">
        <f>F11++F14+F16+F18+F19+F21+F23+F24+F25+F27+F29+F26+F22+F17+F13+F28+F12</f>
        <v>188890.44</v>
      </c>
      <c r="G9" s="659">
        <f>G11++G14+G16+G18+G19+G21+G23+G24+G25+G27+G29+G26+G22+G17+G13+G28+G12</f>
        <v>409853.8</v>
      </c>
      <c r="H9" s="659">
        <f>H11++H14+H16+H18+H19+H21+H23+H24+H25+H27+H29+H26+H22+H17+H13+H28+H12</f>
        <v>1090366</v>
      </c>
      <c r="I9" s="659">
        <f>I11++I14+I16+I18+I19+I21+I23+I24+I25+I27+I29+I26+I22+I17+I13+I28+I12+I15+I20</f>
        <v>49142</v>
      </c>
      <c r="J9" s="659">
        <f>J11++J14+J16+J18+J19+J21+J23+J24+J25+J27+J29+J26+J17</f>
        <v>1100008</v>
      </c>
      <c r="K9" s="656">
        <f>K11++K14+K16+K18+K19+K21+K23+K24+K25+K27+K29+K26+K22+K17+K13+K28+K12+K15+K20</f>
        <v>1139508</v>
      </c>
      <c r="L9" s="656">
        <f>L11++L14+L16+L18+L19+L21+L23+L24+L25+L27+L29+L26+L22+L17+L13+L28+L12+L15+L20</f>
        <v>-24040</v>
      </c>
      <c r="M9" s="656">
        <f>M11++M14+M16+M18+M19+M21+M23+M24+M25+M27+M29+M26+M22+M17+M13+M28+M12+M15+M20</f>
        <v>1115468</v>
      </c>
    </row>
    <row r="10" spans="1:18" x14ac:dyDescent="0.25">
      <c r="A10" s="288" t="s">
        <v>141</v>
      </c>
      <c r="B10" s="288"/>
      <c r="C10" s="288"/>
      <c r="D10" s="377"/>
      <c r="E10" s="377"/>
      <c r="F10" s="659"/>
      <c r="G10" s="659"/>
      <c r="H10" s="659"/>
      <c r="I10" s="659"/>
      <c r="J10" s="659"/>
      <c r="K10" s="656"/>
      <c r="L10" s="656"/>
      <c r="M10" s="656"/>
    </row>
    <row r="11" spans="1:18" x14ac:dyDescent="0.25">
      <c r="A11" s="67">
        <v>6331</v>
      </c>
      <c r="B11" s="67" t="s">
        <v>142</v>
      </c>
      <c r="C11" s="67"/>
      <c r="D11" s="67"/>
      <c r="E11" s="69"/>
      <c r="F11" s="68">
        <v>144992.65</v>
      </c>
      <c r="G11" s="68">
        <f>318792.07-55680</f>
        <v>263112.07</v>
      </c>
      <c r="H11" s="12">
        <f>350000+10000</f>
        <v>360000</v>
      </c>
      <c r="I11" s="12"/>
      <c r="J11" s="12">
        <f t="shared" ref="J11:J29" si="5">H11+I11</f>
        <v>360000</v>
      </c>
      <c r="K11" s="374">
        <f>H11+I11</f>
        <v>360000</v>
      </c>
      <c r="L11" s="12"/>
      <c r="M11" s="12">
        <f>K11+L11</f>
        <v>360000</v>
      </c>
    </row>
    <row r="12" spans="1:18" x14ac:dyDescent="0.25">
      <c r="A12" s="67"/>
      <c r="B12" s="69" t="s">
        <v>795</v>
      </c>
      <c r="C12" s="72"/>
      <c r="D12" s="72"/>
      <c r="E12" s="72"/>
      <c r="F12" s="68"/>
      <c r="G12" s="68"/>
      <c r="H12" s="12"/>
      <c r="I12" s="12">
        <f>2000+1000</f>
        <v>3000</v>
      </c>
      <c r="J12" s="12"/>
      <c r="K12" s="374">
        <f>H12+I12</f>
        <v>3000</v>
      </c>
      <c r="L12" s="12"/>
      <c r="M12" s="12">
        <f t="shared" ref="M12:M29" si="6">K12+L12</f>
        <v>3000</v>
      </c>
      <c r="N12" s="7">
        <v>1000</v>
      </c>
    </row>
    <row r="13" spans="1:18" x14ac:dyDescent="0.25">
      <c r="A13" s="67">
        <v>6331</v>
      </c>
      <c r="B13" s="657" t="s">
        <v>799</v>
      </c>
      <c r="C13" s="658"/>
      <c r="D13" s="658"/>
      <c r="E13" s="658"/>
      <c r="F13" s="68"/>
      <c r="G13" s="68"/>
      <c r="H13" s="12">
        <v>22000</v>
      </c>
      <c r="I13" s="12"/>
      <c r="J13" s="12"/>
      <c r="K13" s="374">
        <f t="shared" ref="K13:K29" si="7">H13+I13</f>
        <v>22000</v>
      </c>
      <c r="L13" s="375">
        <v>-16000</v>
      </c>
      <c r="M13" s="12">
        <f t="shared" si="6"/>
        <v>6000</v>
      </c>
    </row>
    <row r="14" spans="1:18" x14ac:dyDescent="0.25">
      <c r="A14" s="67">
        <v>6331</v>
      </c>
      <c r="B14" s="67" t="s">
        <v>759</v>
      </c>
      <c r="C14" s="67"/>
      <c r="D14" s="69"/>
      <c r="E14" s="72" t="s">
        <v>143</v>
      </c>
      <c r="F14" s="68">
        <v>162</v>
      </c>
      <c r="G14" s="68">
        <v>162</v>
      </c>
      <c r="H14" s="12">
        <v>486</v>
      </c>
      <c r="I14" s="12"/>
      <c r="J14" s="12">
        <f t="shared" si="5"/>
        <v>486</v>
      </c>
      <c r="K14" s="374">
        <f t="shared" si="7"/>
        <v>486</v>
      </c>
      <c r="L14" s="12"/>
      <c r="M14" s="12">
        <f t="shared" si="6"/>
        <v>486</v>
      </c>
    </row>
    <row r="15" spans="1:18" x14ac:dyDescent="0.25">
      <c r="A15" s="67">
        <v>63</v>
      </c>
      <c r="B15" s="67" t="s">
        <v>758</v>
      </c>
      <c r="C15" s="67"/>
      <c r="D15" s="69"/>
      <c r="E15" s="72"/>
      <c r="F15" s="68"/>
      <c r="G15" s="68"/>
      <c r="H15" s="12"/>
      <c r="I15" s="12">
        <v>14500</v>
      </c>
      <c r="J15" s="12"/>
      <c r="K15" s="374">
        <f t="shared" si="7"/>
        <v>14500</v>
      </c>
      <c r="L15" s="12">
        <v>-260</v>
      </c>
      <c r="M15" s="12">
        <f t="shared" si="6"/>
        <v>14240</v>
      </c>
      <c r="N15" s="378">
        <v>14245.41</v>
      </c>
    </row>
    <row r="16" spans="1:18" x14ac:dyDescent="0.25">
      <c r="A16" s="67">
        <v>6332</v>
      </c>
      <c r="B16" s="660" t="s">
        <v>797</v>
      </c>
      <c r="C16" s="660"/>
      <c r="D16" s="660"/>
      <c r="E16" s="661"/>
      <c r="F16" s="379"/>
      <c r="G16" s="379">
        <v>53000</v>
      </c>
      <c r="H16" s="12">
        <f>20000+5000</f>
        <v>25000</v>
      </c>
      <c r="I16" s="12">
        <v>28000</v>
      </c>
      <c r="J16" s="12">
        <f t="shared" si="5"/>
        <v>53000</v>
      </c>
      <c r="K16" s="374">
        <f t="shared" si="7"/>
        <v>53000</v>
      </c>
      <c r="L16" s="12"/>
      <c r="M16" s="12">
        <f t="shared" si="6"/>
        <v>53000</v>
      </c>
      <c r="R16" t="s">
        <v>610</v>
      </c>
    </row>
    <row r="17" spans="1:18" x14ac:dyDescent="0.25">
      <c r="A17" s="67">
        <v>6332</v>
      </c>
      <c r="B17" s="661" t="s">
        <v>742</v>
      </c>
      <c r="C17" s="662"/>
      <c r="D17" s="662"/>
      <c r="E17" s="662"/>
      <c r="F17" s="379">
        <v>34800</v>
      </c>
      <c r="G17" s="379">
        <v>55680</v>
      </c>
      <c r="H17" s="12">
        <f>75000+5000</f>
        <v>80000</v>
      </c>
      <c r="I17" s="12">
        <f>83520-80000</f>
        <v>3520</v>
      </c>
      <c r="J17" s="12">
        <f t="shared" si="5"/>
        <v>83520</v>
      </c>
      <c r="K17" s="374">
        <f t="shared" si="7"/>
        <v>83520</v>
      </c>
      <c r="L17" s="12"/>
      <c r="M17" s="12">
        <f t="shared" si="6"/>
        <v>83520</v>
      </c>
      <c r="N17" s="7" t="s">
        <v>709</v>
      </c>
      <c r="R17">
        <f>6960*12</f>
        <v>83520</v>
      </c>
    </row>
    <row r="18" spans="1:18" x14ac:dyDescent="0.25">
      <c r="A18" s="67">
        <v>6332</v>
      </c>
      <c r="B18" s="657" t="s">
        <v>144</v>
      </c>
      <c r="C18" s="658"/>
      <c r="D18" s="658"/>
      <c r="E18" s="658"/>
      <c r="F18" s="68"/>
      <c r="G18" s="68"/>
      <c r="H18" s="12">
        <v>100000</v>
      </c>
      <c r="I18" s="12"/>
      <c r="J18" s="12">
        <f t="shared" si="5"/>
        <v>100000</v>
      </c>
      <c r="K18" s="374">
        <f t="shared" si="7"/>
        <v>100000</v>
      </c>
      <c r="L18" s="12"/>
      <c r="M18" s="12">
        <f t="shared" si="6"/>
        <v>100000</v>
      </c>
      <c r="N18" s="7" t="s">
        <v>527</v>
      </c>
    </row>
    <row r="19" spans="1:18" x14ac:dyDescent="0.25">
      <c r="A19" s="67">
        <v>6332</v>
      </c>
      <c r="B19" s="71" t="s">
        <v>145</v>
      </c>
      <c r="C19" s="71"/>
      <c r="D19" s="71"/>
      <c r="E19" s="256"/>
      <c r="F19" s="379">
        <v>636.9</v>
      </c>
      <c r="G19" s="379">
        <v>20067.009999999998</v>
      </c>
      <c r="H19" s="12">
        <v>35000</v>
      </c>
      <c r="I19" s="12"/>
      <c r="J19" s="12">
        <f t="shared" si="5"/>
        <v>35000</v>
      </c>
      <c r="K19" s="374">
        <f t="shared" si="7"/>
        <v>35000</v>
      </c>
      <c r="L19" s="12"/>
      <c r="M19" s="12">
        <f t="shared" si="6"/>
        <v>35000</v>
      </c>
      <c r="N19" s="7" t="s">
        <v>723</v>
      </c>
    </row>
    <row r="20" spans="1:18" x14ac:dyDescent="0.25">
      <c r="A20" s="67"/>
      <c r="B20" s="71" t="s">
        <v>796</v>
      </c>
      <c r="C20" s="71"/>
      <c r="D20" s="71"/>
      <c r="E20" s="256"/>
      <c r="F20" s="379"/>
      <c r="G20" s="379"/>
      <c r="H20" s="12"/>
      <c r="I20" s="12"/>
      <c r="J20" s="12"/>
      <c r="K20" s="374"/>
      <c r="L20" s="12"/>
      <c r="M20" s="12">
        <f t="shared" si="6"/>
        <v>0</v>
      </c>
      <c r="N20" s="378">
        <v>35000</v>
      </c>
    </row>
    <row r="21" spans="1:18" x14ac:dyDescent="0.25">
      <c r="A21" s="67">
        <v>6332</v>
      </c>
      <c r="B21" s="660" t="s">
        <v>532</v>
      </c>
      <c r="C21" s="660"/>
      <c r="D21" s="660"/>
      <c r="E21" s="661"/>
      <c r="F21" s="379"/>
      <c r="G21" s="379"/>
      <c r="H21" s="12">
        <f>30000+5000</f>
        <v>35000</v>
      </c>
      <c r="I21" s="12">
        <v>2000</v>
      </c>
      <c r="J21" s="12">
        <f t="shared" si="5"/>
        <v>37000</v>
      </c>
      <c r="K21" s="374">
        <f t="shared" si="7"/>
        <v>37000</v>
      </c>
      <c r="L21" s="12">
        <v>-11900</v>
      </c>
      <c r="M21" s="12">
        <f t="shared" si="6"/>
        <v>25100</v>
      </c>
      <c r="N21" s="378">
        <v>25100</v>
      </c>
    </row>
    <row r="22" spans="1:18" x14ac:dyDescent="0.25">
      <c r="A22" s="67">
        <v>6332</v>
      </c>
      <c r="B22" s="661" t="s">
        <v>473</v>
      </c>
      <c r="C22" s="662"/>
      <c r="D22" s="662"/>
      <c r="E22" s="662"/>
      <c r="F22" s="379"/>
      <c r="G22" s="379"/>
      <c r="H22" s="12">
        <f>40000+10000</f>
        <v>50000</v>
      </c>
      <c r="I22" s="12">
        <v>-50000</v>
      </c>
      <c r="J22" s="12">
        <f t="shared" si="5"/>
        <v>0</v>
      </c>
      <c r="K22" s="374">
        <f t="shared" si="7"/>
        <v>0</v>
      </c>
      <c r="L22" s="12"/>
      <c r="M22" s="12">
        <f t="shared" si="6"/>
        <v>0</v>
      </c>
      <c r="N22" s="378"/>
    </row>
    <row r="23" spans="1:18" x14ac:dyDescent="0.25">
      <c r="A23" s="67">
        <v>6332</v>
      </c>
      <c r="B23" s="660" t="s">
        <v>743</v>
      </c>
      <c r="C23" s="660"/>
      <c r="D23" s="660"/>
      <c r="E23" s="661"/>
      <c r="F23" s="379"/>
      <c r="G23" s="379"/>
      <c r="H23" s="12">
        <v>30000</v>
      </c>
      <c r="I23" s="12">
        <v>-30000</v>
      </c>
      <c r="J23" s="12">
        <f t="shared" si="5"/>
        <v>0</v>
      </c>
      <c r="K23" s="374">
        <f t="shared" si="7"/>
        <v>0</v>
      </c>
      <c r="L23" s="12"/>
      <c r="M23" s="12">
        <f t="shared" si="6"/>
        <v>0</v>
      </c>
      <c r="N23" s="7" t="s">
        <v>528</v>
      </c>
    </row>
    <row r="24" spans="1:18" x14ac:dyDescent="0.25">
      <c r="A24" s="67">
        <v>6341</v>
      </c>
      <c r="B24" s="657" t="s">
        <v>146</v>
      </c>
      <c r="C24" s="658"/>
      <c r="D24" s="658"/>
      <c r="E24" s="658"/>
      <c r="F24" s="68">
        <v>5991.6</v>
      </c>
      <c r="G24" s="68">
        <v>5991.6</v>
      </c>
      <c r="H24" s="12">
        <f>10080+240</f>
        <v>10320</v>
      </c>
      <c r="I24" s="12">
        <v>-4328</v>
      </c>
      <c r="J24" s="12">
        <f t="shared" si="5"/>
        <v>5992</v>
      </c>
      <c r="K24" s="374">
        <f t="shared" si="7"/>
        <v>5992</v>
      </c>
      <c r="L24" s="12"/>
      <c r="M24" s="12">
        <f t="shared" si="6"/>
        <v>5992</v>
      </c>
      <c r="N24" s="7">
        <f>840*12</f>
        <v>10080</v>
      </c>
      <c r="O24" s="7">
        <f>20*12</f>
        <v>240</v>
      </c>
      <c r="Q24" s="7" t="s">
        <v>484</v>
      </c>
    </row>
    <row r="25" spans="1:18" x14ac:dyDescent="0.25">
      <c r="A25" s="67">
        <v>6351</v>
      </c>
      <c r="B25" s="67" t="s">
        <v>147</v>
      </c>
      <c r="C25" s="67"/>
      <c r="D25" s="69"/>
      <c r="E25" s="72"/>
      <c r="F25" s="68"/>
      <c r="G25" s="68"/>
      <c r="H25" s="12">
        <v>14000</v>
      </c>
      <c r="I25" s="12"/>
      <c r="J25" s="12">
        <f t="shared" si="5"/>
        <v>14000</v>
      </c>
      <c r="K25" s="374">
        <f t="shared" si="7"/>
        <v>14000</v>
      </c>
      <c r="L25" s="12"/>
      <c r="M25" s="12">
        <f t="shared" si="6"/>
        <v>14000</v>
      </c>
      <c r="N25" s="7" t="s">
        <v>529</v>
      </c>
    </row>
    <row r="26" spans="1:18" x14ac:dyDescent="0.25">
      <c r="A26" s="67">
        <v>6381</v>
      </c>
      <c r="B26" s="256" t="s">
        <v>787</v>
      </c>
      <c r="C26" s="380"/>
      <c r="D26" s="380"/>
      <c r="E26" s="380"/>
      <c r="F26" s="379"/>
      <c r="G26" s="379">
        <v>7724.36</v>
      </c>
      <c r="H26" s="12">
        <v>86560</v>
      </c>
      <c r="I26" s="12">
        <v>2450</v>
      </c>
      <c r="J26" s="12">
        <f t="shared" si="5"/>
        <v>89010</v>
      </c>
      <c r="K26" s="374">
        <f t="shared" si="7"/>
        <v>89010</v>
      </c>
      <c r="L26" s="12"/>
      <c r="M26" s="12">
        <f t="shared" si="6"/>
        <v>89010</v>
      </c>
      <c r="N26" s="7" t="s">
        <v>754</v>
      </c>
    </row>
    <row r="27" spans="1:18" x14ac:dyDescent="0.25">
      <c r="A27" s="67">
        <v>6332</v>
      </c>
      <c r="B27" s="661" t="s">
        <v>359</v>
      </c>
      <c r="C27" s="662"/>
      <c r="D27" s="662"/>
      <c r="E27" s="662"/>
      <c r="F27" s="379"/>
      <c r="G27" s="379"/>
      <c r="H27" s="12">
        <v>12000</v>
      </c>
      <c r="I27" s="12">
        <v>-12000</v>
      </c>
      <c r="J27" s="12">
        <f t="shared" si="5"/>
        <v>0</v>
      </c>
      <c r="K27" s="374">
        <f t="shared" si="7"/>
        <v>0</v>
      </c>
      <c r="L27" s="12"/>
      <c r="M27" s="12">
        <f t="shared" si="6"/>
        <v>0</v>
      </c>
    </row>
    <row r="28" spans="1:18" x14ac:dyDescent="0.25">
      <c r="A28" s="67">
        <v>638</v>
      </c>
      <c r="B28" s="256" t="s">
        <v>786</v>
      </c>
      <c r="C28" s="380"/>
      <c r="D28" s="380"/>
      <c r="E28" s="380"/>
      <c r="F28" s="379">
        <v>2307.29</v>
      </c>
      <c r="G28" s="379">
        <f>1809.47+2307.29</f>
        <v>4116.76</v>
      </c>
      <c r="H28" s="12"/>
      <c r="I28" s="12"/>
      <c r="J28" s="12"/>
      <c r="K28" s="374"/>
      <c r="L28" s="12">
        <v>4120</v>
      </c>
      <c r="M28" s="12">
        <f t="shared" si="6"/>
        <v>4120</v>
      </c>
    </row>
    <row r="29" spans="1:18" x14ac:dyDescent="0.25">
      <c r="A29" s="67">
        <v>6332</v>
      </c>
      <c r="B29" s="667" t="s">
        <v>533</v>
      </c>
      <c r="C29" s="667"/>
      <c r="D29" s="667"/>
      <c r="E29" s="657"/>
      <c r="F29" s="68"/>
      <c r="G29" s="68"/>
      <c r="H29" s="12">
        <v>230000</v>
      </c>
      <c r="I29" s="12">
        <v>92000</v>
      </c>
      <c r="J29" s="12">
        <f t="shared" si="5"/>
        <v>322000</v>
      </c>
      <c r="K29" s="374">
        <f t="shared" si="7"/>
        <v>322000</v>
      </c>
      <c r="L29" s="12"/>
      <c r="M29" s="12">
        <f t="shared" si="6"/>
        <v>322000</v>
      </c>
      <c r="N29" s="7" t="s">
        <v>530</v>
      </c>
    </row>
    <row r="30" spans="1:18" x14ac:dyDescent="0.25">
      <c r="A30" s="140">
        <v>64</v>
      </c>
      <c r="B30" s="140" t="s">
        <v>148</v>
      </c>
      <c r="C30" s="140"/>
      <c r="D30" s="142"/>
      <c r="E30" s="257"/>
      <c r="F30" s="144">
        <f>F33+F34+F36+F37+F38+F39+F41+F43+F44+F31+F42+F40+F35+F32</f>
        <v>72463.670000000013</v>
      </c>
      <c r="G30" s="144">
        <f>G33+G34+G36+G37+G38+G39+G41+G43+G44+G31+G42+G40+G35+G32</f>
        <v>120316.84000000001</v>
      </c>
      <c r="H30" s="144">
        <f>H33+H34+H36+H37+H38+H39+H41+H43+H44+H31+H42+H40+H35+H32</f>
        <v>216030</v>
      </c>
      <c r="I30" s="144">
        <f>I33+I34+I36+I37+I38+I39+I41+I43+I44+I31+I40+I42+I35+I32</f>
        <v>-300</v>
      </c>
      <c r="J30" s="144" t="e">
        <f>J33+J34+J36+J37+J38+J39+J41+#REF!+J43+J44+J31+J40+J42+J35</f>
        <v>#REF!</v>
      </c>
      <c r="K30" s="376">
        <f>K33+K34+K36+K37+K38+K39+K41+K43+K44+K31+K42+K40+K35+K32</f>
        <v>215730</v>
      </c>
      <c r="L30" s="376">
        <f>L33+L34+L36+L37+L38+L39+L41+L43+L44+L31+L42+L40+L35+L32</f>
        <v>-185</v>
      </c>
      <c r="M30" s="376">
        <f t="shared" ref="M30" si="8">M33+M34+M36+M37+M38+M39+M41+M43+M44+M31+M42+M40+M35+M32</f>
        <v>215545</v>
      </c>
    </row>
    <row r="31" spans="1:18" x14ac:dyDescent="0.25">
      <c r="A31" s="67">
        <v>6413</v>
      </c>
      <c r="B31" s="67" t="s">
        <v>149</v>
      </c>
      <c r="C31" s="67"/>
      <c r="D31" s="69"/>
      <c r="E31" s="72"/>
      <c r="F31" s="68"/>
      <c r="G31" s="68"/>
      <c r="H31" s="12">
        <v>5</v>
      </c>
      <c r="I31" s="12"/>
      <c r="J31" s="12">
        <f t="shared" ref="J31:J44" si="9">H31+I31</f>
        <v>5</v>
      </c>
      <c r="K31" s="374">
        <f>H31+I31</f>
        <v>5</v>
      </c>
      <c r="L31" s="12"/>
      <c r="M31" s="12">
        <f>K31+L31</f>
        <v>5</v>
      </c>
    </row>
    <row r="32" spans="1:18" x14ac:dyDescent="0.25">
      <c r="A32" s="67">
        <v>6141</v>
      </c>
      <c r="B32" s="67" t="s">
        <v>784</v>
      </c>
      <c r="C32" s="67"/>
      <c r="D32" s="69"/>
      <c r="E32" s="72"/>
      <c r="F32" s="68">
        <v>118.06</v>
      </c>
      <c r="G32" s="68">
        <v>118.06</v>
      </c>
      <c r="H32" s="12">
        <v>100</v>
      </c>
      <c r="I32" s="12"/>
      <c r="J32" s="12"/>
      <c r="K32" s="374">
        <f>H32+I32</f>
        <v>100</v>
      </c>
      <c r="L32" s="12"/>
      <c r="M32" s="12">
        <f t="shared" ref="M32:M44" si="10">K32+L32</f>
        <v>100</v>
      </c>
    </row>
    <row r="33" spans="1:14" x14ac:dyDescent="0.25">
      <c r="A33" s="67">
        <v>6421</v>
      </c>
      <c r="B33" s="67" t="s">
        <v>150</v>
      </c>
      <c r="C33" s="67"/>
      <c r="D33" s="67"/>
      <c r="E33" s="69"/>
      <c r="F33" s="68"/>
      <c r="G33" s="68"/>
      <c r="H33" s="12">
        <v>800</v>
      </c>
      <c r="I33" s="12"/>
      <c r="J33" s="12">
        <f t="shared" si="9"/>
        <v>800</v>
      </c>
      <c r="K33" s="374">
        <f t="shared" ref="K33:K44" si="11">H33+I33</f>
        <v>800</v>
      </c>
      <c r="L33" s="12"/>
      <c r="M33" s="12">
        <f t="shared" si="10"/>
        <v>800</v>
      </c>
    </row>
    <row r="34" spans="1:14" x14ac:dyDescent="0.25">
      <c r="A34" s="67">
        <v>6421</v>
      </c>
      <c r="B34" s="67" t="s">
        <v>151</v>
      </c>
      <c r="C34" s="67"/>
      <c r="D34" s="69"/>
      <c r="E34" s="72"/>
      <c r="F34" s="68"/>
      <c r="G34" s="68"/>
      <c r="H34" s="12">
        <v>2000</v>
      </c>
      <c r="I34" s="12"/>
      <c r="J34" s="12">
        <f t="shared" si="9"/>
        <v>2000</v>
      </c>
      <c r="K34" s="374">
        <f t="shared" si="11"/>
        <v>2000</v>
      </c>
      <c r="L34" s="12"/>
      <c r="M34" s="12">
        <f t="shared" si="10"/>
        <v>2000</v>
      </c>
    </row>
    <row r="35" spans="1:14" x14ac:dyDescent="0.25">
      <c r="A35" s="67">
        <v>6421</v>
      </c>
      <c r="B35" s="67" t="s">
        <v>474</v>
      </c>
      <c r="C35" s="67"/>
      <c r="D35" s="69"/>
      <c r="E35" s="72"/>
      <c r="F35" s="68"/>
      <c r="G35" s="68"/>
      <c r="H35" s="12">
        <v>300</v>
      </c>
      <c r="I35" s="12">
        <v>-300</v>
      </c>
      <c r="J35" s="12">
        <f t="shared" si="9"/>
        <v>0</v>
      </c>
      <c r="K35" s="374">
        <f t="shared" si="11"/>
        <v>0</v>
      </c>
      <c r="L35" s="12"/>
      <c r="M35" s="12">
        <f t="shared" si="10"/>
        <v>0</v>
      </c>
      <c r="N35" s="7" t="s">
        <v>531</v>
      </c>
    </row>
    <row r="36" spans="1:14" x14ac:dyDescent="0.25">
      <c r="A36" s="67">
        <v>6422</v>
      </c>
      <c r="B36" s="67" t="s">
        <v>152</v>
      </c>
      <c r="C36" s="67"/>
      <c r="D36" s="67"/>
      <c r="E36" s="69"/>
      <c r="F36" s="68">
        <v>8074.63</v>
      </c>
      <c r="G36" s="68">
        <v>12872.45</v>
      </c>
      <c r="H36" s="12">
        <f>22000+3000</f>
        <v>25000</v>
      </c>
      <c r="I36" s="12"/>
      <c r="J36" s="12">
        <f t="shared" si="9"/>
        <v>25000</v>
      </c>
      <c r="K36" s="374">
        <f t="shared" si="11"/>
        <v>25000</v>
      </c>
      <c r="L36" s="12"/>
      <c r="M36" s="12">
        <f t="shared" si="10"/>
        <v>25000</v>
      </c>
    </row>
    <row r="37" spans="1:14" x14ac:dyDescent="0.25">
      <c r="A37" s="67">
        <v>6422</v>
      </c>
      <c r="B37" s="657" t="s">
        <v>801</v>
      </c>
      <c r="C37" s="658"/>
      <c r="D37" s="658"/>
      <c r="E37" s="658"/>
      <c r="F37" s="68"/>
      <c r="G37" s="68"/>
      <c r="H37" s="12">
        <v>185</v>
      </c>
      <c r="I37" s="12"/>
      <c r="J37" s="12">
        <f t="shared" si="9"/>
        <v>185</v>
      </c>
      <c r="K37" s="374">
        <f t="shared" si="11"/>
        <v>185</v>
      </c>
      <c r="L37" s="12">
        <v>-185</v>
      </c>
      <c r="M37" s="12">
        <f t="shared" si="10"/>
        <v>0</v>
      </c>
    </row>
    <row r="38" spans="1:14" x14ac:dyDescent="0.25">
      <c r="A38" s="67">
        <v>6422</v>
      </c>
      <c r="B38" s="657" t="s">
        <v>616</v>
      </c>
      <c r="C38" s="658"/>
      <c r="D38" s="658"/>
      <c r="E38" s="658"/>
      <c r="F38" s="68">
        <v>4.55</v>
      </c>
      <c r="G38" s="68">
        <v>64.95</v>
      </c>
      <c r="H38" s="12">
        <v>130</v>
      </c>
      <c r="I38" s="12"/>
      <c r="J38" s="12">
        <f t="shared" si="9"/>
        <v>130</v>
      </c>
      <c r="K38" s="374">
        <f t="shared" si="11"/>
        <v>130</v>
      </c>
      <c r="L38" s="12"/>
      <c r="M38" s="12">
        <f t="shared" si="10"/>
        <v>130</v>
      </c>
    </row>
    <row r="39" spans="1:14" x14ac:dyDescent="0.25">
      <c r="A39" s="67">
        <v>6422</v>
      </c>
      <c r="B39" s="67" t="s">
        <v>154</v>
      </c>
      <c r="C39" s="67"/>
      <c r="D39" s="67"/>
      <c r="E39" s="69"/>
      <c r="F39" s="68"/>
      <c r="G39" s="68"/>
      <c r="H39" s="12">
        <v>50</v>
      </c>
      <c r="I39" s="12"/>
      <c r="J39" s="12">
        <f t="shared" si="9"/>
        <v>50</v>
      </c>
      <c r="K39" s="374">
        <f t="shared" si="11"/>
        <v>50</v>
      </c>
      <c r="L39" s="12"/>
      <c r="M39" s="12">
        <f t="shared" si="10"/>
        <v>50</v>
      </c>
    </row>
    <row r="40" spans="1:14" x14ac:dyDescent="0.25">
      <c r="A40" s="67">
        <v>6423</v>
      </c>
      <c r="B40" s="67" t="s">
        <v>475</v>
      </c>
      <c r="C40" s="67"/>
      <c r="D40" s="69"/>
      <c r="E40" s="72"/>
      <c r="F40" s="68">
        <v>59.85</v>
      </c>
      <c r="G40" s="68">
        <v>59.85</v>
      </c>
      <c r="H40" s="12">
        <v>250</v>
      </c>
      <c r="I40" s="12"/>
      <c r="J40" s="12">
        <f t="shared" si="9"/>
        <v>250</v>
      </c>
      <c r="K40" s="374">
        <f t="shared" si="11"/>
        <v>250</v>
      </c>
      <c r="L40" s="12"/>
      <c r="M40" s="12">
        <f t="shared" si="10"/>
        <v>250</v>
      </c>
    </row>
    <row r="41" spans="1:14" x14ac:dyDescent="0.25">
      <c r="A41" s="67">
        <v>6423</v>
      </c>
      <c r="B41" s="67" t="s">
        <v>155</v>
      </c>
      <c r="C41" s="67"/>
      <c r="D41" s="69"/>
      <c r="E41" s="72"/>
      <c r="F41" s="68">
        <v>44.55</v>
      </c>
      <c r="G41" s="68">
        <v>44.55</v>
      </c>
      <c r="H41" s="12">
        <v>60</v>
      </c>
      <c r="I41" s="12"/>
      <c r="J41" s="12">
        <f t="shared" si="9"/>
        <v>60</v>
      </c>
      <c r="K41" s="374">
        <f t="shared" si="11"/>
        <v>60</v>
      </c>
      <c r="L41" s="12"/>
      <c r="M41" s="12">
        <f t="shared" si="10"/>
        <v>60</v>
      </c>
    </row>
    <row r="42" spans="1:14" x14ac:dyDescent="0.25">
      <c r="A42" s="67">
        <v>6423</v>
      </c>
      <c r="B42" s="69" t="s">
        <v>785</v>
      </c>
      <c r="C42" s="72"/>
      <c r="D42" s="72"/>
      <c r="E42" s="72"/>
      <c r="F42" s="68"/>
      <c r="G42" s="68"/>
      <c r="H42" s="12">
        <v>100</v>
      </c>
      <c r="I42" s="12"/>
      <c r="J42" s="12">
        <f t="shared" si="9"/>
        <v>100</v>
      </c>
      <c r="K42" s="374">
        <f t="shared" si="11"/>
        <v>100</v>
      </c>
      <c r="L42" s="12"/>
      <c r="M42" s="12">
        <f t="shared" si="10"/>
        <v>100</v>
      </c>
    </row>
    <row r="43" spans="1:14" x14ac:dyDescent="0.25">
      <c r="A43" s="67">
        <v>6423</v>
      </c>
      <c r="B43" s="67" t="s">
        <v>156</v>
      </c>
      <c r="C43" s="67"/>
      <c r="D43" s="67"/>
      <c r="E43" s="69"/>
      <c r="F43" s="68">
        <v>59105.29</v>
      </c>
      <c r="G43" s="68">
        <v>102100.24</v>
      </c>
      <c r="H43" s="12">
        <f>170000+10000+2000</f>
        <v>182000</v>
      </c>
      <c r="I43" s="12"/>
      <c r="J43" s="12">
        <f t="shared" si="9"/>
        <v>182000</v>
      </c>
      <c r="K43" s="374">
        <f t="shared" si="11"/>
        <v>182000</v>
      </c>
      <c r="L43" s="12"/>
      <c r="M43" s="12">
        <f t="shared" si="10"/>
        <v>182000</v>
      </c>
    </row>
    <row r="44" spans="1:14" x14ac:dyDescent="0.25">
      <c r="A44" s="67">
        <v>6423</v>
      </c>
      <c r="B44" s="67" t="s">
        <v>157</v>
      </c>
      <c r="C44" s="67"/>
      <c r="D44" s="67"/>
      <c r="E44" s="69"/>
      <c r="F44" s="68">
        <v>5056.74</v>
      </c>
      <c r="G44" s="68">
        <v>5056.74</v>
      </c>
      <c r="H44" s="12">
        <v>5050</v>
      </c>
      <c r="I44" s="12"/>
      <c r="J44" s="12">
        <f t="shared" si="9"/>
        <v>5050</v>
      </c>
      <c r="K44" s="374">
        <f t="shared" si="11"/>
        <v>5050</v>
      </c>
      <c r="L44" s="12"/>
      <c r="M44" s="12">
        <f t="shared" si="10"/>
        <v>5050</v>
      </c>
    </row>
    <row r="45" spans="1:14" x14ac:dyDescent="0.25">
      <c r="A45" s="136">
        <v>65</v>
      </c>
      <c r="B45" s="668" t="s">
        <v>769</v>
      </c>
      <c r="C45" s="669"/>
      <c r="D45" s="669"/>
      <c r="E45" s="670"/>
      <c r="F45" s="291">
        <f>F47+F49+F50+F51+F52+F53</f>
        <v>48115.31</v>
      </c>
      <c r="G45" s="291">
        <f>G47+G49+G50+G51+G52+G53+G48</f>
        <v>72234.819999999992</v>
      </c>
      <c r="H45" s="291">
        <f>H47+H49+H50+H51+H52+H53</f>
        <v>121465</v>
      </c>
      <c r="I45" s="291">
        <f>I47+I49+I50+I51+I52+I53</f>
        <v>0</v>
      </c>
      <c r="J45" s="144">
        <f>J47+J49+J50+J51+J52+J53</f>
        <v>121465</v>
      </c>
      <c r="K45" s="381">
        <f>K47+K49+K50+K51+K52+K53</f>
        <v>121465</v>
      </c>
      <c r="L45" s="381">
        <f>L47+L49+L50+L51+L52+L53+L48</f>
        <v>285</v>
      </c>
      <c r="M45" s="381">
        <f>M47+M49+M50+M51+M52+M53+M48</f>
        <v>121750</v>
      </c>
    </row>
    <row r="46" spans="1:14" x14ac:dyDescent="0.25">
      <c r="A46" s="288"/>
      <c r="B46" s="676" t="s">
        <v>770</v>
      </c>
      <c r="C46" s="677"/>
      <c r="D46" s="677"/>
      <c r="E46" s="678"/>
      <c r="F46" s="292"/>
      <c r="G46" s="292"/>
      <c r="H46" s="292"/>
      <c r="I46" s="292"/>
      <c r="J46" s="144"/>
      <c r="K46" s="382"/>
      <c r="L46" s="292"/>
      <c r="M46" s="292"/>
    </row>
    <row r="47" spans="1:14" x14ac:dyDescent="0.25">
      <c r="A47" s="67">
        <v>6512</v>
      </c>
      <c r="B47" s="67" t="s">
        <v>158</v>
      </c>
      <c r="C47" s="67"/>
      <c r="D47" s="69"/>
      <c r="E47" s="72"/>
      <c r="F47" s="68">
        <v>5403.51</v>
      </c>
      <c r="G47" s="68">
        <v>9850.15</v>
      </c>
      <c r="H47" s="12">
        <v>12000</v>
      </c>
      <c r="I47" s="12"/>
      <c r="J47" s="12">
        <f t="shared" ref="J47:J53" si="12">H47+I47</f>
        <v>12000</v>
      </c>
      <c r="K47" s="374">
        <f>H47+I47</f>
        <v>12000</v>
      </c>
      <c r="L47" s="12"/>
      <c r="M47" s="12">
        <f>K47+L47</f>
        <v>12000</v>
      </c>
    </row>
    <row r="48" spans="1:14" x14ac:dyDescent="0.25">
      <c r="A48" s="67">
        <v>6514</v>
      </c>
      <c r="B48" s="67" t="s">
        <v>800</v>
      </c>
      <c r="C48" s="69"/>
      <c r="D48" s="72"/>
      <c r="E48" s="72"/>
      <c r="F48" s="68"/>
      <c r="G48" s="68">
        <v>119.43</v>
      </c>
      <c r="H48" s="12"/>
      <c r="I48" s="12"/>
      <c r="J48" s="12"/>
      <c r="K48" s="374"/>
      <c r="L48" s="12">
        <v>185</v>
      </c>
      <c r="M48" s="12">
        <f t="shared" ref="M48:M53" si="13">K48+L48</f>
        <v>185</v>
      </c>
    </row>
    <row r="49" spans="1:13" x14ac:dyDescent="0.25">
      <c r="A49" s="67">
        <v>6522</v>
      </c>
      <c r="B49" s="67" t="s">
        <v>159</v>
      </c>
      <c r="C49" s="69"/>
      <c r="D49" s="72"/>
      <c r="E49" s="72"/>
      <c r="F49" s="68">
        <v>138.31</v>
      </c>
      <c r="G49" s="68">
        <v>148.38999999999999</v>
      </c>
      <c r="H49" s="12">
        <v>50</v>
      </c>
      <c r="I49" s="12"/>
      <c r="J49" s="12">
        <f t="shared" si="12"/>
        <v>50</v>
      </c>
      <c r="K49" s="374">
        <f t="shared" ref="K49:K53" si="14">H49+I49</f>
        <v>50</v>
      </c>
      <c r="L49" s="12">
        <v>100</v>
      </c>
      <c r="M49" s="12">
        <f t="shared" si="13"/>
        <v>150</v>
      </c>
    </row>
    <row r="50" spans="1:13" x14ac:dyDescent="0.25">
      <c r="A50" s="67">
        <v>6524</v>
      </c>
      <c r="B50" s="67" t="s">
        <v>160</v>
      </c>
      <c r="C50" s="69"/>
      <c r="D50" s="72"/>
      <c r="E50" s="72"/>
      <c r="F50" s="68">
        <v>21984.93</v>
      </c>
      <c r="G50" s="68">
        <v>29009.97</v>
      </c>
      <c r="H50" s="12">
        <f>60000+2000</f>
        <v>62000</v>
      </c>
      <c r="I50" s="12"/>
      <c r="J50" s="12">
        <f t="shared" si="12"/>
        <v>62000</v>
      </c>
      <c r="K50" s="374">
        <f t="shared" si="14"/>
        <v>62000</v>
      </c>
      <c r="L50" s="12"/>
      <c r="M50" s="12">
        <f t="shared" si="13"/>
        <v>62000</v>
      </c>
    </row>
    <row r="51" spans="1:13" x14ac:dyDescent="0.25">
      <c r="A51" s="67">
        <v>6526</v>
      </c>
      <c r="B51" s="657" t="s">
        <v>161</v>
      </c>
      <c r="C51" s="658"/>
      <c r="D51" s="658"/>
      <c r="E51" s="658"/>
      <c r="F51" s="68">
        <v>13491.84</v>
      </c>
      <c r="G51" s="68">
        <f>318.53+19567.75</f>
        <v>19886.28</v>
      </c>
      <c r="H51" s="12">
        <v>31847</v>
      </c>
      <c r="I51" s="12"/>
      <c r="J51" s="12">
        <f t="shared" si="12"/>
        <v>31847</v>
      </c>
      <c r="K51" s="374">
        <f t="shared" si="14"/>
        <v>31847</v>
      </c>
      <c r="L51" s="12"/>
      <c r="M51" s="12">
        <f t="shared" si="13"/>
        <v>31847</v>
      </c>
    </row>
    <row r="52" spans="1:13" x14ac:dyDescent="0.25">
      <c r="A52" s="67">
        <v>6531</v>
      </c>
      <c r="B52" s="657" t="s">
        <v>162</v>
      </c>
      <c r="C52" s="658"/>
      <c r="D52" s="658"/>
      <c r="E52" s="658"/>
      <c r="F52" s="68"/>
      <c r="G52" s="68"/>
      <c r="H52" s="12">
        <v>100</v>
      </c>
      <c r="I52" s="12"/>
      <c r="J52" s="12">
        <f t="shared" si="12"/>
        <v>100</v>
      </c>
      <c r="K52" s="374">
        <f t="shared" si="14"/>
        <v>100</v>
      </c>
      <c r="L52" s="12"/>
      <c r="M52" s="12">
        <f t="shared" si="13"/>
        <v>100</v>
      </c>
    </row>
    <row r="53" spans="1:13" x14ac:dyDescent="0.25">
      <c r="A53" s="67">
        <v>6532</v>
      </c>
      <c r="B53" s="657" t="s">
        <v>163</v>
      </c>
      <c r="C53" s="658"/>
      <c r="D53" s="658"/>
      <c r="E53" s="658"/>
      <c r="F53" s="68">
        <v>7096.72</v>
      </c>
      <c r="G53" s="68">
        <v>13220.6</v>
      </c>
      <c r="H53" s="12">
        <f>15000+468</f>
        <v>15468</v>
      </c>
      <c r="I53" s="12"/>
      <c r="J53" s="12">
        <f t="shared" si="12"/>
        <v>15468</v>
      </c>
      <c r="K53" s="374">
        <f t="shared" si="14"/>
        <v>15468</v>
      </c>
      <c r="L53" s="12"/>
      <c r="M53" s="12">
        <f t="shared" si="13"/>
        <v>15468</v>
      </c>
    </row>
    <row r="54" spans="1:13" x14ac:dyDescent="0.25">
      <c r="A54" s="140">
        <v>66</v>
      </c>
      <c r="B54" s="142" t="s">
        <v>724</v>
      </c>
      <c r="C54" s="257"/>
      <c r="D54" s="257"/>
      <c r="E54" s="257"/>
      <c r="F54" s="383">
        <f>F55</f>
        <v>107.27</v>
      </c>
      <c r="G54" s="383">
        <f>G55</f>
        <v>371.12</v>
      </c>
      <c r="H54" s="383">
        <f t="shared" ref="H54:I54" si="15">H55</f>
        <v>0</v>
      </c>
      <c r="I54" s="383">
        <f t="shared" si="15"/>
        <v>1000</v>
      </c>
      <c r="J54" s="383">
        <f>J55</f>
        <v>0</v>
      </c>
      <c r="K54" s="384">
        <f t="shared" ref="K54:M54" si="16">K55</f>
        <v>1000</v>
      </c>
      <c r="L54" s="384">
        <f t="shared" si="16"/>
        <v>0</v>
      </c>
      <c r="M54" s="384">
        <f t="shared" si="16"/>
        <v>1000</v>
      </c>
    </row>
    <row r="55" spans="1:13" x14ac:dyDescent="0.25">
      <c r="A55" s="67">
        <v>6614</v>
      </c>
      <c r="B55" s="69" t="s">
        <v>474</v>
      </c>
      <c r="C55" s="72"/>
      <c r="D55" s="72"/>
      <c r="E55" s="72"/>
      <c r="F55" s="68">
        <v>107.27</v>
      </c>
      <c r="G55" s="68">
        <v>371.12</v>
      </c>
      <c r="H55" s="12"/>
      <c r="I55" s="12">
        <v>1000</v>
      </c>
      <c r="J55" s="12"/>
      <c r="K55" s="374">
        <f>H55+I55</f>
        <v>1000</v>
      </c>
      <c r="L55" s="12"/>
      <c r="M55" s="12">
        <f>K55+L55</f>
        <v>1000</v>
      </c>
    </row>
    <row r="56" spans="1:13" x14ac:dyDescent="0.25">
      <c r="A56" s="35">
        <v>7</v>
      </c>
      <c r="B56" s="671" t="s">
        <v>2</v>
      </c>
      <c r="C56" s="671"/>
      <c r="D56" s="671"/>
      <c r="E56" s="672"/>
      <c r="F56" s="31">
        <f t="shared" ref="F56:M57" si="17">F57</f>
        <v>1133.94</v>
      </c>
      <c r="G56" s="31">
        <f t="shared" si="17"/>
        <v>510.27</v>
      </c>
      <c r="H56" s="31">
        <f t="shared" si="17"/>
        <v>500</v>
      </c>
      <c r="I56" s="31">
        <f t="shared" si="17"/>
        <v>0</v>
      </c>
      <c r="J56" s="31">
        <f t="shared" si="17"/>
        <v>500</v>
      </c>
      <c r="K56" s="372">
        <f t="shared" si="17"/>
        <v>500</v>
      </c>
      <c r="L56" s="372">
        <f t="shared" si="17"/>
        <v>0</v>
      </c>
      <c r="M56" s="372">
        <f t="shared" si="17"/>
        <v>0</v>
      </c>
    </row>
    <row r="57" spans="1:13" x14ac:dyDescent="0.25">
      <c r="A57" s="140">
        <v>72</v>
      </c>
      <c r="B57" s="140" t="s">
        <v>164</v>
      </c>
      <c r="C57" s="140"/>
      <c r="D57" s="140"/>
      <c r="E57" s="142"/>
      <c r="F57" s="141">
        <f>F58</f>
        <v>1133.94</v>
      </c>
      <c r="G57" s="141">
        <f>G58</f>
        <v>510.27</v>
      </c>
      <c r="H57" s="141">
        <f>H58</f>
        <v>500</v>
      </c>
      <c r="I57" s="141">
        <f t="shared" si="17"/>
        <v>0</v>
      </c>
      <c r="J57" s="141">
        <f t="shared" si="17"/>
        <v>500</v>
      </c>
      <c r="K57" s="373">
        <f>K58</f>
        <v>500</v>
      </c>
      <c r="L57" s="141"/>
      <c r="M57" s="141"/>
    </row>
    <row r="58" spans="1:13" x14ac:dyDescent="0.25">
      <c r="A58" s="67">
        <v>7211</v>
      </c>
      <c r="B58" s="67" t="s">
        <v>165</v>
      </c>
      <c r="C58" s="69"/>
      <c r="D58" s="72"/>
      <c r="E58" s="72"/>
      <c r="F58" s="68">
        <v>1133.94</v>
      </c>
      <c r="G58" s="68">
        <v>510.27</v>
      </c>
      <c r="H58" s="12">
        <v>500</v>
      </c>
      <c r="I58" s="12"/>
      <c r="J58" s="12">
        <f>H58+I58</f>
        <v>500</v>
      </c>
      <c r="K58" s="374">
        <f>H58+I58</f>
        <v>500</v>
      </c>
      <c r="L58" s="12"/>
      <c r="M58" s="12">
        <f>K58+L58</f>
        <v>500</v>
      </c>
    </row>
    <row r="59" spans="1:13" x14ac:dyDescent="0.25">
      <c r="A59" s="69"/>
      <c r="B59" s="72"/>
      <c r="C59" s="74"/>
      <c r="D59" s="72"/>
      <c r="E59" s="70"/>
      <c r="F59" s="154"/>
      <c r="G59" s="154"/>
      <c r="H59" s="7"/>
      <c r="I59" s="7"/>
      <c r="J59" s="7"/>
      <c r="K59" s="7"/>
      <c r="L59" s="12"/>
      <c r="M59" s="12"/>
    </row>
    <row r="60" spans="1:13" x14ac:dyDescent="0.25">
      <c r="A60" s="673" t="s">
        <v>370</v>
      </c>
      <c r="B60" s="674"/>
      <c r="C60" s="674"/>
      <c r="D60" s="674"/>
      <c r="E60" s="675"/>
      <c r="F60" s="265">
        <f t="shared" ref="F60:K60" si="18">F56+F2</f>
        <v>401483.74</v>
      </c>
      <c r="G60" s="265">
        <f t="shared" si="18"/>
        <v>832793.80999999994</v>
      </c>
      <c r="H60" s="143">
        <f t="shared" si="18"/>
        <v>1705661</v>
      </c>
      <c r="I60" s="143">
        <f t="shared" si="18"/>
        <v>82492</v>
      </c>
      <c r="J60" s="143" t="e">
        <f t="shared" si="18"/>
        <v>#REF!</v>
      </c>
      <c r="K60" s="360">
        <f t="shared" si="18"/>
        <v>1788153</v>
      </c>
      <c r="L60" s="360">
        <f t="shared" ref="L60:M60" si="19">L56+L2</f>
        <v>-10940</v>
      </c>
      <c r="M60" s="360">
        <f t="shared" si="19"/>
        <v>1776713</v>
      </c>
    </row>
    <row r="61" spans="1:13" ht="15.75" x14ac:dyDescent="0.25">
      <c r="A61" s="76"/>
      <c r="B61" s="76"/>
      <c r="C61" s="76"/>
      <c r="D61" s="76"/>
      <c r="E61" s="76"/>
      <c r="F61" s="266"/>
      <c r="G61" s="266"/>
      <c r="H61" s="7"/>
      <c r="I61" s="7"/>
      <c r="J61" s="7"/>
      <c r="K61" s="7"/>
      <c r="L61" s="7"/>
      <c r="M61" s="7"/>
    </row>
    <row r="62" spans="1:13" x14ac:dyDescent="0.25">
      <c r="I62" s="7"/>
    </row>
    <row r="63" spans="1:13" x14ac:dyDescent="0.25">
      <c r="I63" s="7"/>
    </row>
    <row r="64" spans="1:13" x14ac:dyDescent="0.25">
      <c r="H64" s="7">
        <f>'Rashodi radni primjer '!E3</f>
        <v>0</v>
      </c>
      <c r="I64" s="7"/>
      <c r="K64" s="7">
        <f>'Rashodi radni primjer '!I3</f>
        <v>2071120.11</v>
      </c>
      <c r="L64" s="7"/>
      <c r="M64" s="7"/>
    </row>
    <row r="65" spans="8:14" x14ac:dyDescent="0.25">
      <c r="I65" s="7"/>
    </row>
    <row r="66" spans="8:14" x14ac:dyDescent="0.25">
      <c r="H66" s="7">
        <f>H60-H64</f>
        <v>1705661</v>
      </c>
      <c r="I66" s="7"/>
      <c r="K66" s="7">
        <f>K60-K64</f>
        <v>-282967.1100000001</v>
      </c>
      <c r="L66" s="7"/>
      <c r="M66" s="7"/>
      <c r="N66" s="7" t="s">
        <v>755</v>
      </c>
    </row>
    <row r="67" spans="8:14" x14ac:dyDescent="0.25">
      <c r="I67" s="7"/>
    </row>
    <row r="68" spans="8:14" x14ac:dyDescent="0.25">
      <c r="H68" s="7">
        <f>300000+20000</f>
        <v>320000</v>
      </c>
      <c r="I68" s="7">
        <v>-37032.89</v>
      </c>
      <c r="K68" s="7">
        <f>H68+I68</f>
        <v>282967.11</v>
      </c>
      <c r="L68" s="7"/>
      <c r="M68" s="7"/>
      <c r="N68" s="7" t="s">
        <v>756</v>
      </c>
    </row>
    <row r="69" spans="8:14" x14ac:dyDescent="0.25">
      <c r="H69" s="7"/>
      <c r="I69" s="7"/>
      <c r="K69" s="7"/>
      <c r="L69" s="7"/>
      <c r="M69" s="7"/>
    </row>
    <row r="70" spans="8:14" x14ac:dyDescent="0.25">
      <c r="H70" s="7">
        <f>H66+H68</f>
        <v>2025661</v>
      </c>
      <c r="I70" s="7"/>
      <c r="K70" s="7">
        <f>K66+K68</f>
        <v>0</v>
      </c>
      <c r="L70" s="7"/>
      <c r="M70" s="7"/>
      <c r="N70" s="7" t="s">
        <v>757</v>
      </c>
    </row>
    <row r="71" spans="8:14" x14ac:dyDescent="0.25">
      <c r="H71" s="7"/>
      <c r="I71" s="7"/>
      <c r="K71" s="7"/>
      <c r="L71" s="7"/>
      <c r="M71" s="7"/>
    </row>
    <row r="72" spans="8:14" x14ac:dyDescent="0.25">
      <c r="H72" s="7"/>
      <c r="K72" s="7"/>
      <c r="L72" s="7"/>
      <c r="M72" s="7"/>
    </row>
    <row r="73" spans="8:14" x14ac:dyDescent="0.25">
      <c r="H73" s="7"/>
      <c r="K73" s="7"/>
      <c r="L73" s="7"/>
      <c r="M73" s="7"/>
    </row>
    <row r="74" spans="8:14" x14ac:dyDescent="0.25">
      <c r="H74" s="7"/>
      <c r="K74" s="7"/>
      <c r="L74" s="7"/>
      <c r="M74" s="7"/>
    </row>
    <row r="75" spans="8:14" x14ac:dyDescent="0.25">
      <c r="H75" s="7"/>
      <c r="K75" s="7"/>
      <c r="L75" s="7"/>
      <c r="M75" s="7"/>
    </row>
  </sheetData>
  <mergeCells count="33">
    <mergeCell ref="B45:E45"/>
    <mergeCell ref="B56:E56"/>
    <mergeCell ref="A60:E60"/>
    <mergeCell ref="B27:E27"/>
    <mergeCell ref="B29:E29"/>
    <mergeCell ref="B37:E37"/>
    <mergeCell ref="B52:E52"/>
    <mergeCell ref="B53:E53"/>
    <mergeCell ref="B51:E51"/>
    <mergeCell ref="B46:E46"/>
    <mergeCell ref="B8:E8"/>
    <mergeCell ref="B13:E13"/>
    <mergeCell ref="A2:E2"/>
    <mergeCell ref="B3:E3"/>
    <mergeCell ref="B4:E4"/>
    <mergeCell ref="B5:E5"/>
    <mergeCell ref="B7:E7"/>
    <mergeCell ref="L9:L10"/>
    <mergeCell ref="M9:M10"/>
    <mergeCell ref="B24:E24"/>
    <mergeCell ref="B18:E18"/>
    <mergeCell ref="B38:E38"/>
    <mergeCell ref="H9:H10"/>
    <mergeCell ref="I9:I10"/>
    <mergeCell ref="J9:J10"/>
    <mergeCell ref="K9:K10"/>
    <mergeCell ref="B23:E23"/>
    <mergeCell ref="B17:E17"/>
    <mergeCell ref="B21:E21"/>
    <mergeCell ref="B22:E22"/>
    <mergeCell ref="B16:E16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8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22BF-5E8B-4A08-8779-4E772BF0CA3C}">
  <dimension ref="A1:V76"/>
  <sheetViews>
    <sheetView topLeftCell="A67" workbookViewId="0">
      <selection activeCell="N11" sqref="N11:N29"/>
    </sheetView>
  </sheetViews>
  <sheetFormatPr defaultRowHeight="15" x14ac:dyDescent="0.25"/>
  <cols>
    <col min="5" max="5" width="14" customWidth="1"/>
    <col min="6" max="6" width="1.28515625" style="267" customWidth="1"/>
    <col min="7" max="7" width="1.7109375" customWidth="1"/>
    <col min="8" max="8" width="1.42578125" customWidth="1"/>
    <col min="9" max="9" width="14" hidden="1" customWidth="1"/>
    <col min="10" max="10" width="1" customWidth="1"/>
    <col min="11" max="12" width="1.140625" customWidth="1"/>
    <col min="13" max="16" width="20.85546875" customWidth="1"/>
    <col min="17" max="17" width="10.140625" style="7" bestFit="1" customWidth="1"/>
    <col min="18" max="19" width="9.140625" style="7"/>
    <col min="20" max="20" width="11.7109375" style="7" bestFit="1" customWidth="1"/>
    <col min="21" max="22" width="11.7109375" bestFit="1" customWidth="1"/>
  </cols>
  <sheetData>
    <row r="1" spans="1:21" ht="55.5" customHeight="1" x14ac:dyDescent="0.25">
      <c r="A1" s="63"/>
      <c r="B1" s="63"/>
      <c r="C1" s="63"/>
      <c r="D1" s="63"/>
      <c r="E1" s="63"/>
      <c r="F1" s="261" t="s">
        <v>722</v>
      </c>
      <c r="G1" s="4" t="s">
        <v>477</v>
      </c>
      <c r="H1" s="4" t="s">
        <v>472</v>
      </c>
      <c r="I1" s="4" t="s">
        <v>476</v>
      </c>
      <c r="J1" s="4" t="s">
        <v>794</v>
      </c>
      <c r="K1" s="388" t="s">
        <v>808</v>
      </c>
      <c r="L1" s="4" t="s">
        <v>809</v>
      </c>
      <c r="M1" s="4" t="s">
        <v>810</v>
      </c>
      <c r="N1" s="4" t="s">
        <v>705</v>
      </c>
      <c r="O1" s="4" t="s">
        <v>847</v>
      </c>
      <c r="P1" s="449" t="s">
        <v>852</v>
      </c>
    </row>
    <row r="2" spans="1:21" x14ac:dyDescent="0.25">
      <c r="A2" s="685" t="s">
        <v>1</v>
      </c>
      <c r="B2" s="685"/>
      <c r="C2" s="685"/>
      <c r="D2" s="685"/>
      <c r="E2" s="491"/>
      <c r="F2" s="31">
        <f>F3+F9+F30+F45+F55</f>
        <v>400349.8</v>
      </c>
      <c r="G2" s="31">
        <f>G3+G9+G30+G45+G55</f>
        <v>1705161</v>
      </c>
      <c r="H2" s="31">
        <f>H3+H9+H30+H45+H55</f>
        <v>82492</v>
      </c>
      <c r="I2" s="31" t="e">
        <f>I3+I9+I30+I45</f>
        <v>#REF!</v>
      </c>
      <c r="J2" s="31">
        <f>J3+J9+J30+J45+J55</f>
        <v>1787653</v>
      </c>
      <c r="K2" s="385">
        <f t="shared" ref="K2:L2" si="0">K3+K9+K30+K45+K55</f>
        <v>832283.53999999992</v>
      </c>
      <c r="L2" s="31">
        <f t="shared" si="0"/>
        <v>26870</v>
      </c>
      <c r="M2" s="31">
        <f>M3+M9+M30+M45+M55</f>
        <v>1814523</v>
      </c>
      <c r="N2" s="31">
        <f>SUM(N4:N59)</f>
        <v>-452515</v>
      </c>
      <c r="O2" s="372">
        <f>M2+N2</f>
        <v>1362008</v>
      </c>
      <c r="P2" s="450"/>
    </row>
    <row r="3" spans="1:21" x14ac:dyDescent="0.25">
      <c r="A3" s="140">
        <v>61</v>
      </c>
      <c r="B3" s="686" t="s">
        <v>134</v>
      </c>
      <c r="C3" s="687"/>
      <c r="D3" s="687"/>
      <c r="E3" s="687"/>
      <c r="F3" s="260">
        <f>F4+F5+F6+F7+F8</f>
        <v>90773.109999999986</v>
      </c>
      <c r="G3" s="141">
        <f>G4+G5+G6+G7+G8</f>
        <v>277300</v>
      </c>
      <c r="H3" s="141">
        <f>H4+H5+H6+H7+H8</f>
        <v>32650</v>
      </c>
      <c r="I3" s="141">
        <f>I4+I5+I6+I7+I8</f>
        <v>309950</v>
      </c>
      <c r="J3" s="141">
        <f>J4+J5+J6+J7+J8</f>
        <v>309950</v>
      </c>
      <c r="K3" s="12">
        <f t="shared" ref="K3:M3" si="1">K4+K5+K6+K7+K8</f>
        <v>229506.96000000002</v>
      </c>
      <c r="L3" s="141">
        <f t="shared" si="1"/>
        <v>14650</v>
      </c>
      <c r="M3" s="141">
        <f t="shared" si="1"/>
        <v>324600</v>
      </c>
      <c r="N3" s="141"/>
      <c r="O3" s="373">
        <f>M3+N3</f>
        <v>324600</v>
      </c>
      <c r="P3" s="174"/>
    </row>
    <row r="4" spans="1:21" x14ac:dyDescent="0.25">
      <c r="A4" s="67">
        <v>6111</v>
      </c>
      <c r="B4" s="688" t="s">
        <v>135</v>
      </c>
      <c r="C4" s="688"/>
      <c r="D4" s="688"/>
      <c r="E4" s="683"/>
      <c r="F4" s="263">
        <v>134523.49</v>
      </c>
      <c r="G4" s="12">
        <f>300000+3000</f>
        <v>303000</v>
      </c>
      <c r="H4" s="12">
        <f>20000+10000+10000+4000</f>
        <v>44000</v>
      </c>
      <c r="I4" s="12">
        <f>G4+H4</f>
        <v>347000</v>
      </c>
      <c r="J4" s="12">
        <f>G4+H4</f>
        <v>347000</v>
      </c>
      <c r="K4" s="12">
        <v>268637.01</v>
      </c>
      <c r="L4" s="12">
        <v>13000</v>
      </c>
      <c r="M4" s="12">
        <f>J4+L4</f>
        <v>360000</v>
      </c>
      <c r="N4" s="12">
        <f>30000+4500-1269</f>
        <v>33231</v>
      </c>
      <c r="O4" s="373">
        <f t="shared" ref="O4:O8" si="2">M4+N4</f>
        <v>393231</v>
      </c>
      <c r="P4" s="174">
        <f>335585.35</f>
        <v>335585.35</v>
      </c>
    </row>
    <row r="5" spans="1:21" x14ac:dyDescent="0.25">
      <c r="A5" s="67"/>
      <c r="B5" s="688" t="s">
        <v>136</v>
      </c>
      <c r="C5" s="688"/>
      <c r="D5" s="688"/>
      <c r="E5" s="683"/>
      <c r="F5" s="263">
        <v>-51314.54</v>
      </c>
      <c r="G5" s="12">
        <v>-40000</v>
      </c>
      <c r="H5" s="12">
        <v>-11350</v>
      </c>
      <c r="I5" s="12">
        <f>G5+H5</f>
        <v>-51350</v>
      </c>
      <c r="J5" s="12">
        <f t="shared" ref="J5:J8" si="3">G5+H5</f>
        <v>-51350</v>
      </c>
      <c r="K5" s="12">
        <v>-49695.519999999997</v>
      </c>
      <c r="L5" s="12">
        <v>1650</v>
      </c>
      <c r="M5" s="12">
        <f t="shared" ref="M5:M8" si="4">J5+L5</f>
        <v>-49700</v>
      </c>
      <c r="N5" s="12"/>
      <c r="O5" s="373">
        <f t="shared" si="2"/>
        <v>-49700</v>
      </c>
      <c r="P5" s="174">
        <v>-47551.3</v>
      </c>
    </row>
    <row r="6" spans="1:21" x14ac:dyDescent="0.25">
      <c r="A6" s="67">
        <v>6131</v>
      </c>
      <c r="B6" s="67" t="s">
        <v>137</v>
      </c>
      <c r="C6" s="67"/>
      <c r="D6" s="67"/>
      <c r="E6" s="69"/>
      <c r="F6" s="263">
        <v>318</v>
      </c>
      <c r="G6" s="12">
        <v>800</v>
      </c>
      <c r="H6" s="12"/>
      <c r="I6" s="12">
        <f>G6+H6</f>
        <v>800</v>
      </c>
      <c r="J6" s="12">
        <f t="shared" si="3"/>
        <v>800</v>
      </c>
      <c r="K6" s="12">
        <v>642.36</v>
      </c>
      <c r="L6" s="12"/>
      <c r="M6" s="12">
        <f t="shared" si="4"/>
        <v>800</v>
      </c>
      <c r="N6" s="12"/>
      <c r="O6" s="373">
        <f t="shared" si="2"/>
        <v>800</v>
      </c>
      <c r="P6" s="174">
        <v>642.36</v>
      </c>
      <c r="U6" s="7" t="e">
        <f>J4+J5+J6+J7+J8+J11+J13+J14+J16+J17+J18+J19+J21+J22+J23+J24+J25+J26+J27+J29+J31+J33+J34+J35+J36+J37+J38+J39+J40+J41+#REF!+J42+J43+J44+J47+J49+J50+J52+J53+J54+J59</f>
        <v>#REF!</v>
      </c>
    </row>
    <row r="7" spans="1:21" x14ac:dyDescent="0.25">
      <c r="A7" s="67">
        <v>6134</v>
      </c>
      <c r="B7" s="683" t="s">
        <v>138</v>
      </c>
      <c r="C7" s="684"/>
      <c r="D7" s="684"/>
      <c r="E7" s="684"/>
      <c r="F7" s="263">
        <v>5685.72</v>
      </c>
      <c r="G7" s="12">
        <v>10000</v>
      </c>
      <c r="H7" s="12"/>
      <c r="I7" s="12">
        <f>G7+H7</f>
        <v>10000</v>
      </c>
      <c r="J7" s="12">
        <f t="shared" si="3"/>
        <v>10000</v>
      </c>
      <c r="K7" s="12">
        <v>7273.79</v>
      </c>
      <c r="L7" s="12"/>
      <c r="M7" s="12">
        <f t="shared" si="4"/>
        <v>10000</v>
      </c>
      <c r="N7" s="12">
        <v>2000</v>
      </c>
      <c r="O7" s="373">
        <f t="shared" si="2"/>
        <v>12000</v>
      </c>
      <c r="P7" s="174">
        <v>10829.04</v>
      </c>
    </row>
    <row r="8" spans="1:21" x14ac:dyDescent="0.25">
      <c r="A8" s="67">
        <v>6142</v>
      </c>
      <c r="B8" s="683" t="s">
        <v>139</v>
      </c>
      <c r="C8" s="684"/>
      <c r="D8" s="684"/>
      <c r="E8" s="684"/>
      <c r="F8" s="263">
        <v>1560.44</v>
      </c>
      <c r="G8" s="12">
        <v>3500</v>
      </c>
      <c r="H8" s="12"/>
      <c r="I8" s="12">
        <f>G8+H8</f>
        <v>3500</v>
      </c>
      <c r="J8" s="12">
        <f t="shared" si="3"/>
        <v>3500</v>
      </c>
      <c r="K8" s="12">
        <v>2649.32</v>
      </c>
      <c r="L8" s="12"/>
      <c r="M8" s="12">
        <f t="shared" si="4"/>
        <v>3500</v>
      </c>
      <c r="N8" s="12">
        <v>1000</v>
      </c>
      <c r="O8" s="373">
        <f t="shared" si="2"/>
        <v>4500</v>
      </c>
      <c r="P8" s="174">
        <v>3758.44</v>
      </c>
    </row>
    <row r="9" spans="1:21" x14ac:dyDescent="0.25">
      <c r="A9" s="136">
        <v>63</v>
      </c>
      <c r="B9" s="137" t="s">
        <v>140</v>
      </c>
      <c r="C9" s="136"/>
      <c r="D9" s="136"/>
      <c r="E9" s="255"/>
      <c r="F9" s="690">
        <f>F11++F14+F16+F18+F19+F21+F23+F24+F25+F27+F29+F26+F22+F17+F13+F28+F12</f>
        <v>188890.44</v>
      </c>
      <c r="G9" s="690">
        <f>G11++G14+G16+G18+G19+G21+G23+G24+G25+G27+G29+G26+G22+G17+G13+G28+G12</f>
        <v>1090366</v>
      </c>
      <c r="H9" s="690">
        <f>H11++H14+H16+H18+H19+H21+H23+H24+H25+H27+H29+H26+H22+H17+H13+H28+H12+H15</f>
        <v>49142</v>
      </c>
      <c r="I9" s="690">
        <f>I11++I14+I16+I18+I19+I21+I23+I24+I25+I27+I29+I26+I17</f>
        <v>1100008</v>
      </c>
      <c r="J9" s="690">
        <f>J11++J14+J16+J18+J19+J21+J23+J24+J25+J27+J29+J26+J22+J17+J13+J28+J12+J15</f>
        <v>1139508</v>
      </c>
      <c r="K9" s="689">
        <f t="shared" ref="K9" si="5">K11++K14+K16+K18+K19+K21+K23+K24+K25+K27+K29+K26+K22+K17+K13+K28+K12+K15</f>
        <v>409853.8</v>
      </c>
      <c r="L9" s="690">
        <f>L11++L14+L16+L18+L19+L21+L23+L24+L25+L27+L29+L26+L22+L17+L13+L28+L12+L15+L20</f>
        <v>28220</v>
      </c>
      <c r="M9" s="690">
        <f>M11++M14+M16+M18+M19+M21+M23+M24+M25+M27+M29+M26+M22+M17+M13+M28+M12+M15+M20</f>
        <v>1167728</v>
      </c>
      <c r="N9" s="679"/>
      <c r="O9" s="681">
        <f>M9+N9</f>
        <v>1167728</v>
      </c>
      <c r="P9" s="451"/>
    </row>
    <row r="10" spans="1:21" x14ac:dyDescent="0.25">
      <c r="A10" s="138" t="s">
        <v>141</v>
      </c>
      <c r="B10" s="138"/>
      <c r="C10" s="138"/>
      <c r="D10" s="139"/>
      <c r="E10" s="139"/>
      <c r="F10" s="690"/>
      <c r="G10" s="690"/>
      <c r="H10" s="690"/>
      <c r="I10" s="690"/>
      <c r="J10" s="690"/>
      <c r="K10" s="689"/>
      <c r="L10" s="690"/>
      <c r="M10" s="690"/>
      <c r="N10" s="680"/>
      <c r="O10" s="682"/>
      <c r="P10" s="451"/>
    </row>
    <row r="11" spans="1:21" x14ac:dyDescent="0.25">
      <c r="A11" s="67">
        <v>6331</v>
      </c>
      <c r="B11" s="67" t="s">
        <v>142</v>
      </c>
      <c r="C11" s="67"/>
      <c r="D11" s="67"/>
      <c r="E11" s="69"/>
      <c r="F11" s="263">
        <v>144992.65</v>
      </c>
      <c r="G11" s="12">
        <f>350000+10000</f>
        <v>360000</v>
      </c>
      <c r="H11" s="12"/>
      <c r="I11" s="12">
        <f t="shared" ref="I11:I29" si="6">G11+H11</f>
        <v>360000</v>
      </c>
      <c r="J11" s="12">
        <f>G11+H11</f>
        <v>360000</v>
      </c>
      <c r="K11" s="12">
        <f>318792.07-55680</f>
        <v>263112.07</v>
      </c>
      <c r="L11" s="12"/>
      <c r="M11" s="12">
        <f>J11+L11</f>
        <v>360000</v>
      </c>
      <c r="N11" s="12">
        <v>-10000</v>
      </c>
      <c r="O11" s="374">
        <f>M11+N11</f>
        <v>350000</v>
      </c>
      <c r="P11" s="174">
        <f>346209.13-25100</f>
        <v>321109.13</v>
      </c>
    </row>
    <row r="12" spans="1:21" x14ac:dyDescent="0.25">
      <c r="A12" s="67"/>
      <c r="B12" s="69" t="s">
        <v>788</v>
      </c>
      <c r="C12" s="72"/>
      <c r="D12" s="72"/>
      <c r="E12" s="72"/>
      <c r="F12" s="263"/>
      <c r="G12" s="12"/>
      <c r="H12" s="12">
        <f>2000+1000</f>
        <v>3000</v>
      </c>
      <c r="I12" s="12"/>
      <c r="J12" s="12">
        <f>G12+H12</f>
        <v>3000</v>
      </c>
      <c r="K12" s="12"/>
      <c r="L12" s="12"/>
      <c r="M12" s="12">
        <f t="shared" ref="M12:M29" si="7">J12+L12</f>
        <v>3000</v>
      </c>
      <c r="N12" s="12">
        <v>-2000</v>
      </c>
      <c r="O12" s="374">
        <f t="shared" ref="O12:O45" si="8">M12+N12</f>
        <v>1000</v>
      </c>
      <c r="P12" s="174"/>
      <c r="Q12" s="7">
        <v>1000</v>
      </c>
    </row>
    <row r="13" spans="1:21" x14ac:dyDescent="0.25">
      <c r="A13" s="67">
        <v>6331</v>
      </c>
      <c r="B13" s="683" t="s">
        <v>553</v>
      </c>
      <c r="C13" s="684"/>
      <c r="D13" s="684"/>
      <c r="E13" s="684"/>
      <c r="F13" s="263"/>
      <c r="G13" s="12">
        <v>22000</v>
      </c>
      <c r="H13" s="12"/>
      <c r="I13" s="12"/>
      <c r="J13" s="12">
        <f t="shared" ref="J13:J29" si="9">G13+H13</f>
        <v>22000</v>
      </c>
      <c r="K13" s="12"/>
      <c r="L13" s="12">
        <v>-14000</v>
      </c>
      <c r="M13" s="12">
        <f t="shared" si="7"/>
        <v>8000</v>
      </c>
      <c r="N13" s="12">
        <v>-8000</v>
      </c>
      <c r="O13" s="374">
        <f t="shared" si="8"/>
        <v>0</v>
      </c>
      <c r="P13" s="174"/>
      <c r="Q13" s="7" t="s">
        <v>855</v>
      </c>
    </row>
    <row r="14" spans="1:21" x14ac:dyDescent="0.25">
      <c r="A14" s="67">
        <v>6331</v>
      </c>
      <c r="B14" s="67" t="s">
        <v>759</v>
      </c>
      <c r="C14" s="67"/>
      <c r="D14" s="69"/>
      <c r="E14" s="72" t="s">
        <v>143</v>
      </c>
      <c r="F14" s="263">
        <v>162</v>
      </c>
      <c r="G14" s="12">
        <v>486</v>
      </c>
      <c r="H14" s="12"/>
      <c r="I14" s="12">
        <f t="shared" si="6"/>
        <v>486</v>
      </c>
      <c r="J14" s="12">
        <f t="shared" si="9"/>
        <v>486</v>
      </c>
      <c r="K14" s="12">
        <v>162</v>
      </c>
      <c r="L14" s="12"/>
      <c r="M14" s="12">
        <f t="shared" si="7"/>
        <v>486</v>
      </c>
      <c r="N14" s="12">
        <v>-6</v>
      </c>
      <c r="O14" s="374">
        <f t="shared" si="8"/>
        <v>480</v>
      </c>
      <c r="P14" s="174"/>
    </row>
    <row r="15" spans="1:21" x14ac:dyDescent="0.25">
      <c r="A15" s="67">
        <v>63</v>
      </c>
      <c r="B15" s="67" t="s">
        <v>758</v>
      </c>
      <c r="C15" s="67"/>
      <c r="D15" s="69"/>
      <c r="E15" s="72"/>
      <c r="F15" s="263"/>
      <c r="G15" s="12"/>
      <c r="H15" s="12">
        <v>14500</v>
      </c>
      <c r="I15" s="12"/>
      <c r="J15" s="12">
        <f t="shared" si="9"/>
        <v>14500</v>
      </c>
      <c r="K15" s="12"/>
      <c r="L15" s="12"/>
      <c r="M15" s="12">
        <f t="shared" si="7"/>
        <v>14500</v>
      </c>
      <c r="N15" s="12"/>
      <c r="O15" s="374">
        <f t="shared" si="8"/>
        <v>14500</v>
      </c>
      <c r="P15" s="174"/>
      <c r="Q15" s="7">
        <v>14245.41</v>
      </c>
      <c r="R15" s="7" t="s">
        <v>812</v>
      </c>
    </row>
    <row r="16" spans="1:21" x14ac:dyDescent="0.25">
      <c r="A16" s="67">
        <v>6332</v>
      </c>
      <c r="B16" s="699" t="s">
        <v>708</v>
      </c>
      <c r="C16" s="699"/>
      <c r="D16" s="699"/>
      <c r="E16" s="691"/>
      <c r="F16" s="264"/>
      <c r="G16" s="12">
        <f>20000+5000</f>
        <v>25000</v>
      </c>
      <c r="H16" s="12">
        <v>28000</v>
      </c>
      <c r="I16" s="12">
        <f t="shared" si="6"/>
        <v>53000</v>
      </c>
      <c r="J16" s="12">
        <f t="shared" si="9"/>
        <v>53000</v>
      </c>
      <c r="K16" s="12">
        <v>53000</v>
      </c>
      <c r="L16" s="12"/>
      <c r="M16" s="12">
        <f t="shared" si="7"/>
        <v>53000</v>
      </c>
      <c r="N16" s="12"/>
      <c r="O16" s="374">
        <f t="shared" si="8"/>
        <v>53000</v>
      </c>
      <c r="P16" s="174">
        <v>53000</v>
      </c>
      <c r="U16" t="s">
        <v>610</v>
      </c>
    </row>
    <row r="17" spans="1:21" x14ac:dyDescent="0.25">
      <c r="A17" s="67">
        <v>6332</v>
      </c>
      <c r="B17" s="691" t="s">
        <v>742</v>
      </c>
      <c r="C17" s="692"/>
      <c r="D17" s="692"/>
      <c r="E17" s="692"/>
      <c r="F17" s="264">
        <v>34800</v>
      </c>
      <c r="G17" s="12">
        <f>75000+5000</f>
        <v>80000</v>
      </c>
      <c r="H17" s="12">
        <f>83520-80000</f>
        <v>3520</v>
      </c>
      <c r="I17" s="12">
        <f t="shared" si="6"/>
        <v>83520</v>
      </c>
      <c r="J17" s="12">
        <f t="shared" si="9"/>
        <v>83520</v>
      </c>
      <c r="K17" s="12">
        <v>55680</v>
      </c>
      <c r="L17" s="12"/>
      <c r="M17" s="12">
        <f t="shared" si="7"/>
        <v>83520</v>
      </c>
      <c r="N17" s="12">
        <v>600</v>
      </c>
      <c r="O17" s="374">
        <f t="shared" si="8"/>
        <v>84120</v>
      </c>
      <c r="P17" s="174">
        <v>69176</v>
      </c>
      <c r="Q17" s="7" t="s">
        <v>709</v>
      </c>
      <c r="U17">
        <f>6960*12</f>
        <v>83520</v>
      </c>
    </row>
    <row r="18" spans="1:21" x14ac:dyDescent="0.25">
      <c r="A18" s="67">
        <v>6332</v>
      </c>
      <c r="B18" s="683" t="s">
        <v>144</v>
      </c>
      <c r="C18" s="684"/>
      <c r="D18" s="684"/>
      <c r="E18" s="684"/>
      <c r="F18" s="263"/>
      <c r="G18" s="12">
        <v>100000</v>
      </c>
      <c r="H18" s="12"/>
      <c r="I18" s="12">
        <f t="shared" si="6"/>
        <v>100000</v>
      </c>
      <c r="J18" s="12">
        <f t="shared" si="9"/>
        <v>100000</v>
      </c>
      <c r="K18" s="389"/>
      <c r="L18" s="12"/>
      <c r="M18" s="12">
        <f t="shared" si="7"/>
        <v>100000</v>
      </c>
      <c r="N18" s="12">
        <v>-95000</v>
      </c>
      <c r="O18" s="374">
        <f t="shared" si="8"/>
        <v>5000</v>
      </c>
      <c r="P18" s="174"/>
      <c r="Q18" s="7" t="s">
        <v>527</v>
      </c>
    </row>
    <row r="19" spans="1:21" x14ac:dyDescent="0.25">
      <c r="A19" s="67">
        <v>6332</v>
      </c>
      <c r="B19" s="71" t="s">
        <v>145</v>
      </c>
      <c r="C19" s="71"/>
      <c r="D19" s="71"/>
      <c r="E19" s="256"/>
      <c r="F19" s="264">
        <v>636.9</v>
      </c>
      <c r="G19" s="12">
        <v>35000</v>
      </c>
      <c r="H19" s="12"/>
      <c r="I19" s="12">
        <f t="shared" si="6"/>
        <v>35000</v>
      </c>
      <c r="J19" s="12">
        <f t="shared" si="9"/>
        <v>35000</v>
      </c>
      <c r="K19" s="12">
        <v>20067.009999999998</v>
      </c>
      <c r="L19" s="12"/>
      <c r="M19" s="12">
        <f t="shared" si="7"/>
        <v>35000</v>
      </c>
      <c r="N19" s="12">
        <v>5000</v>
      </c>
      <c r="O19" s="374">
        <f t="shared" si="8"/>
        <v>40000</v>
      </c>
      <c r="P19" s="174">
        <v>20067.009999999998</v>
      </c>
    </row>
    <row r="20" spans="1:21" x14ac:dyDescent="0.25">
      <c r="A20" s="67"/>
      <c r="B20" s="71" t="s">
        <v>813</v>
      </c>
      <c r="C20" s="71"/>
      <c r="D20" s="71"/>
      <c r="E20" s="256"/>
      <c r="F20" s="264"/>
      <c r="G20" s="12"/>
      <c r="H20" s="12"/>
      <c r="I20" s="12"/>
      <c r="J20" s="12"/>
      <c r="K20" s="12"/>
      <c r="L20" s="12">
        <v>40000</v>
      </c>
      <c r="M20" s="12">
        <f t="shared" si="7"/>
        <v>40000</v>
      </c>
      <c r="N20" s="12">
        <v>6000</v>
      </c>
      <c r="O20" s="374">
        <f t="shared" si="8"/>
        <v>46000</v>
      </c>
      <c r="P20" s="174"/>
    </row>
    <row r="21" spans="1:21" x14ac:dyDescent="0.25">
      <c r="A21" s="67">
        <v>6332</v>
      </c>
      <c r="B21" s="699" t="s">
        <v>532</v>
      </c>
      <c r="C21" s="699"/>
      <c r="D21" s="699"/>
      <c r="E21" s="691"/>
      <c r="F21" s="264"/>
      <c r="G21" s="12">
        <f>30000+5000</f>
        <v>35000</v>
      </c>
      <c r="H21" s="12">
        <v>2000</v>
      </c>
      <c r="I21" s="12">
        <f t="shared" si="6"/>
        <v>37000</v>
      </c>
      <c r="J21" s="12">
        <f t="shared" si="9"/>
        <v>37000</v>
      </c>
      <c r="K21" s="12"/>
      <c r="L21" s="12">
        <v>-11900</v>
      </c>
      <c r="M21" s="12">
        <f t="shared" si="7"/>
        <v>25100</v>
      </c>
      <c r="N21" s="12"/>
      <c r="O21" s="374">
        <f t="shared" si="8"/>
        <v>25100</v>
      </c>
      <c r="P21" s="174">
        <v>25100</v>
      </c>
      <c r="Q21" s="7">
        <v>25100</v>
      </c>
      <c r="R21" s="7" t="s">
        <v>814</v>
      </c>
    </row>
    <row r="22" spans="1:21" x14ac:dyDescent="0.25">
      <c r="A22" s="67">
        <v>6332</v>
      </c>
      <c r="B22" s="691" t="s">
        <v>473</v>
      </c>
      <c r="C22" s="692"/>
      <c r="D22" s="692"/>
      <c r="E22" s="692"/>
      <c r="F22" s="264"/>
      <c r="G22" s="19">
        <f>40000+10000</f>
        <v>50000</v>
      </c>
      <c r="H22" s="19">
        <v>-50000</v>
      </c>
      <c r="I22" s="12">
        <f t="shared" si="6"/>
        <v>0</v>
      </c>
      <c r="J22" s="12">
        <f t="shared" si="9"/>
        <v>0</v>
      </c>
      <c r="K22" s="12"/>
      <c r="L22" s="12"/>
      <c r="M22" s="12">
        <f t="shared" si="7"/>
        <v>0</v>
      </c>
      <c r="N22" s="12"/>
      <c r="O22" s="374">
        <f t="shared" si="8"/>
        <v>0</v>
      </c>
      <c r="P22" s="174"/>
    </row>
    <row r="23" spans="1:21" x14ac:dyDescent="0.25">
      <c r="A23" s="67">
        <v>6332</v>
      </c>
      <c r="B23" s="699" t="s">
        <v>743</v>
      </c>
      <c r="C23" s="699"/>
      <c r="D23" s="699"/>
      <c r="E23" s="691"/>
      <c r="F23" s="264"/>
      <c r="G23" s="12">
        <v>30000</v>
      </c>
      <c r="H23" s="12">
        <v>-30000</v>
      </c>
      <c r="I23" s="12">
        <f t="shared" si="6"/>
        <v>0</v>
      </c>
      <c r="J23" s="12">
        <f t="shared" si="9"/>
        <v>0</v>
      </c>
      <c r="K23" s="12"/>
      <c r="L23" s="12"/>
      <c r="M23" s="12">
        <f t="shared" si="7"/>
        <v>0</v>
      </c>
      <c r="N23" s="12"/>
      <c r="O23" s="374">
        <f t="shared" si="8"/>
        <v>0</v>
      </c>
      <c r="P23" s="174"/>
      <c r="Q23" s="7" t="s">
        <v>528</v>
      </c>
    </row>
    <row r="24" spans="1:21" x14ac:dyDescent="0.25">
      <c r="A24" s="67">
        <v>6341</v>
      </c>
      <c r="B24" s="683" t="s">
        <v>146</v>
      </c>
      <c r="C24" s="684"/>
      <c r="D24" s="684"/>
      <c r="E24" s="684"/>
      <c r="F24" s="263">
        <v>5991.6</v>
      </c>
      <c r="G24" s="12">
        <f>10080+240</f>
        <v>10320</v>
      </c>
      <c r="H24" s="12">
        <v>-4328</v>
      </c>
      <c r="I24" s="12">
        <f t="shared" si="6"/>
        <v>5992</v>
      </c>
      <c r="J24" s="12">
        <f t="shared" si="9"/>
        <v>5992</v>
      </c>
      <c r="K24" s="12">
        <v>5991.6</v>
      </c>
      <c r="L24" s="12"/>
      <c r="M24" s="12">
        <f t="shared" si="7"/>
        <v>5992</v>
      </c>
      <c r="N24" s="12"/>
      <c r="O24" s="374">
        <f t="shared" si="8"/>
        <v>5992</v>
      </c>
      <c r="P24" s="174">
        <v>5991.6</v>
      </c>
      <c r="Q24" s="7">
        <f>840*12</f>
        <v>10080</v>
      </c>
      <c r="R24" s="7">
        <f>20*12</f>
        <v>240</v>
      </c>
      <c r="T24" s="7" t="s">
        <v>484</v>
      </c>
    </row>
    <row r="25" spans="1:21" x14ac:dyDescent="0.25">
      <c r="A25" s="67">
        <v>6351</v>
      </c>
      <c r="B25" s="67" t="s">
        <v>147</v>
      </c>
      <c r="C25" s="67"/>
      <c r="D25" s="69"/>
      <c r="E25" s="72"/>
      <c r="F25" s="263"/>
      <c r="G25" s="12">
        <v>14000</v>
      </c>
      <c r="H25" s="12"/>
      <c r="I25" s="12">
        <f t="shared" si="6"/>
        <v>14000</v>
      </c>
      <c r="J25" s="12">
        <f t="shared" si="9"/>
        <v>14000</v>
      </c>
      <c r="K25" s="12"/>
      <c r="L25" s="12"/>
      <c r="M25" s="12">
        <f t="shared" si="7"/>
        <v>14000</v>
      </c>
      <c r="N25" s="12"/>
      <c r="O25" s="374">
        <f t="shared" si="8"/>
        <v>14000</v>
      </c>
      <c r="P25" s="174"/>
      <c r="Q25" s="7" t="s">
        <v>529</v>
      </c>
    </row>
    <row r="26" spans="1:21" x14ac:dyDescent="0.25">
      <c r="A26" s="67">
        <v>6381</v>
      </c>
      <c r="B26" s="188" t="s">
        <v>787</v>
      </c>
      <c r="C26" s="189"/>
      <c r="D26" s="189"/>
      <c r="E26" s="189"/>
      <c r="F26" s="264"/>
      <c r="G26" s="12">
        <v>86560</v>
      </c>
      <c r="H26" s="12">
        <v>2450</v>
      </c>
      <c r="I26" s="12">
        <f t="shared" si="6"/>
        <v>89010</v>
      </c>
      <c r="J26" s="12">
        <f t="shared" si="9"/>
        <v>89010</v>
      </c>
      <c r="K26" s="12">
        <v>7724.36</v>
      </c>
      <c r="L26" s="12"/>
      <c r="M26" s="12">
        <f t="shared" si="7"/>
        <v>89010</v>
      </c>
      <c r="N26" s="12">
        <v>-38300</v>
      </c>
      <c r="O26" s="374">
        <f t="shared" si="8"/>
        <v>50710</v>
      </c>
      <c r="P26" s="174">
        <v>22469.54</v>
      </c>
      <c r="Q26" s="7" t="s">
        <v>754</v>
      </c>
    </row>
    <row r="27" spans="1:21" x14ac:dyDescent="0.25">
      <c r="A27" s="67">
        <v>6332</v>
      </c>
      <c r="B27" s="691" t="s">
        <v>825</v>
      </c>
      <c r="C27" s="692"/>
      <c r="D27" s="692"/>
      <c r="E27" s="692"/>
      <c r="F27" s="264"/>
      <c r="G27" s="12">
        <v>12000</v>
      </c>
      <c r="H27" s="12">
        <v>-12000</v>
      </c>
      <c r="I27" s="12">
        <f t="shared" si="6"/>
        <v>0</v>
      </c>
      <c r="J27" s="12">
        <f t="shared" si="9"/>
        <v>0</v>
      </c>
      <c r="K27" s="12"/>
      <c r="L27" s="12">
        <v>10000</v>
      </c>
      <c r="M27" s="12">
        <f t="shared" si="7"/>
        <v>10000</v>
      </c>
      <c r="N27" s="12">
        <f>3000+2000</f>
        <v>5000</v>
      </c>
      <c r="O27" s="374">
        <f t="shared" si="8"/>
        <v>15000</v>
      </c>
      <c r="P27" s="174"/>
    </row>
    <row r="28" spans="1:21" x14ac:dyDescent="0.25">
      <c r="A28" s="67">
        <v>638</v>
      </c>
      <c r="B28" s="188" t="s">
        <v>786</v>
      </c>
      <c r="C28" s="189"/>
      <c r="D28" s="189"/>
      <c r="E28" s="189"/>
      <c r="F28" s="264">
        <v>2307.29</v>
      </c>
      <c r="G28" s="12"/>
      <c r="H28" s="12"/>
      <c r="I28" s="12"/>
      <c r="J28" s="12"/>
      <c r="K28" s="12">
        <f>1809.47+2307.29</f>
        <v>4116.76</v>
      </c>
      <c r="L28" s="12">
        <v>4120</v>
      </c>
      <c r="M28" s="12">
        <f t="shared" si="7"/>
        <v>4120</v>
      </c>
      <c r="N28" s="12"/>
      <c r="O28" s="374">
        <f t="shared" si="8"/>
        <v>4120</v>
      </c>
      <c r="P28" s="174">
        <f>55172.71-53000+2307.29</f>
        <v>4479.9999999999991</v>
      </c>
    </row>
    <row r="29" spans="1:21" x14ac:dyDescent="0.25">
      <c r="A29" s="67">
        <v>6332</v>
      </c>
      <c r="B29" s="688" t="s">
        <v>533</v>
      </c>
      <c r="C29" s="688"/>
      <c r="D29" s="688"/>
      <c r="E29" s="683"/>
      <c r="F29" s="263"/>
      <c r="G29" s="12">
        <v>230000</v>
      </c>
      <c r="H29" s="12">
        <v>92000</v>
      </c>
      <c r="I29" s="12">
        <f t="shared" si="6"/>
        <v>322000</v>
      </c>
      <c r="J29" s="12">
        <f t="shared" si="9"/>
        <v>322000</v>
      </c>
      <c r="K29" s="12"/>
      <c r="L29" s="12"/>
      <c r="M29" s="12">
        <f t="shared" si="7"/>
        <v>322000</v>
      </c>
      <c r="N29" s="12">
        <v>-321000</v>
      </c>
      <c r="O29" s="374">
        <f t="shared" si="8"/>
        <v>1000</v>
      </c>
      <c r="P29" s="174"/>
      <c r="Q29" s="7" t="s">
        <v>530</v>
      </c>
    </row>
    <row r="30" spans="1:21" x14ac:dyDescent="0.25">
      <c r="A30" s="140">
        <v>64</v>
      </c>
      <c r="B30" s="140" t="s">
        <v>148</v>
      </c>
      <c r="C30" s="140"/>
      <c r="D30" s="142"/>
      <c r="E30" s="257"/>
      <c r="F30" s="260">
        <f>F33+F34+F36+F37+F38+F39+F41+F43+F44+F31+F42+F40+F35+F32</f>
        <v>72463.670000000013</v>
      </c>
      <c r="G30" s="144">
        <f>G33+G34+G36+G37+G38+G39+G41+G43+G44+G31+G42+G40+G35+G32</f>
        <v>216030</v>
      </c>
      <c r="H30" s="144">
        <f>H33+H34+H36+H37+H38+H39+H41+H43+H44+H31+H40+H42+H35+H32</f>
        <v>-300</v>
      </c>
      <c r="I30" s="144" t="e">
        <f>I33+I34+I36+I37+I38+I39+I41+#REF!+I43+I44+I31+I40+I42+I35</f>
        <v>#REF!</v>
      </c>
      <c r="J30" s="144">
        <f>J33+J34+J36+J37+J38+J39+J41+J43+J44+J31+J42+J40+J35+J32</f>
        <v>215730</v>
      </c>
      <c r="K30" s="385">
        <f t="shared" ref="K30:M30" si="10">K33+K34+K36+K37+K38+K39+K41+K43+K44+K31+K42+K40+K35+K32</f>
        <v>120316.84000000001</v>
      </c>
      <c r="L30" s="144">
        <f t="shared" si="10"/>
        <v>-16185</v>
      </c>
      <c r="M30" s="144">
        <f t="shared" si="10"/>
        <v>199545</v>
      </c>
      <c r="N30" s="144"/>
      <c r="O30" s="374">
        <f t="shared" si="8"/>
        <v>199545</v>
      </c>
      <c r="P30" s="450"/>
    </row>
    <row r="31" spans="1:21" x14ac:dyDescent="0.25">
      <c r="A31" s="67">
        <v>6413</v>
      </c>
      <c r="B31" s="67" t="s">
        <v>149</v>
      </c>
      <c r="C31" s="67"/>
      <c r="D31" s="69"/>
      <c r="E31" s="72"/>
      <c r="F31" s="263"/>
      <c r="G31" s="12">
        <v>5</v>
      </c>
      <c r="H31" s="12"/>
      <c r="I31" s="12">
        <f t="shared" ref="I31:I44" si="11">G31+H31</f>
        <v>5</v>
      </c>
      <c r="J31" s="12">
        <f>G31+H31</f>
        <v>5</v>
      </c>
      <c r="K31" s="12"/>
      <c r="L31" s="12"/>
      <c r="M31" s="12">
        <f>J31+L31</f>
        <v>5</v>
      </c>
      <c r="N31" s="12"/>
      <c r="O31" s="374">
        <f t="shared" si="8"/>
        <v>5</v>
      </c>
      <c r="P31" s="174"/>
    </row>
    <row r="32" spans="1:21" x14ac:dyDescent="0.25">
      <c r="A32" s="67">
        <v>6141</v>
      </c>
      <c r="B32" s="67" t="s">
        <v>784</v>
      </c>
      <c r="C32" s="67"/>
      <c r="D32" s="69"/>
      <c r="E32" s="72"/>
      <c r="F32" s="263">
        <v>118.06</v>
      </c>
      <c r="G32" s="12">
        <v>100</v>
      </c>
      <c r="H32" s="12"/>
      <c r="I32" s="12"/>
      <c r="J32" s="12">
        <f>G32+H32</f>
        <v>100</v>
      </c>
      <c r="K32" s="12">
        <v>118.06</v>
      </c>
      <c r="L32" s="12"/>
      <c r="M32" s="12">
        <f t="shared" ref="M32:M44" si="12">J32+L32</f>
        <v>100</v>
      </c>
      <c r="N32" s="12"/>
      <c r="O32" s="374">
        <f t="shared" si="8"/>
        <v>100</v>
      </c>
      <c r="P32" s="174">
        <v>118.06</v>
      </c>
    </row>
    <row r="33" spans="1:16" x14ac:dyDescent="0.25">
      <c r="A33" s="67">
        <v>6421</v>
      </c>
      <c r="B33" s="67" t="s">
        <v>150</v>
      </c>
      <c r="C33" s="67"/>
      <c r="D33" s="67"/>
      <c r="E33" s="69"/>
      <c r="F33" s="263"/>
      <c r="G33" s="12">
        <v>800</v>
      </c>
      <c r="H33" s="12"/>
      <c r="I33" s="12">
        <f t="shared" si="11"/>
        <v>800</v>
      </c>
      <c r="J33" s="12">
        <f t="shared" ref="J33:J44" si="13">G33+H33</f>
        <v>800</v>
      </c>
      <c r="K33" s="12"/>
      <c r="L33" s="12"/>
      <c r="M33" s="12">
        <f t="shared" si="12"/>
        <v>800</v>
      </c>
      <c r="N33" s="12"/>
      <c r="O33" s="374">
        <f t="shared" si="8"/>
        <v>800</v>
      </c>
      <c r="P33" s="174"/>
    </row>
    <row r="34" spans="1:16" x14ac:dyDescent="0.25">
      <c r="A34" s="67">
        <v>6421</v>
      </c>
      <c r="B34" s="67" t="s">
        <v>151</v>
      </c>
      <c r="C34" s="67"/>
      <c r="D34" s="69"/>
      <c r="E34" s="72"/>
      <c r="F34" s="263"/>
      <c r="G34" s="12">
        <v>2000</v>
      </c>
      <c r="H34" s="12"/>
      <c r="I34" s="12">
        <f t="shared" si="11"/>
        <v>2000</v>
      </c>
      <c r="J34" s="12">
        <f t="shared" si="13"/>
        <v>2000</v>
      </c>
      <c r="K34" s="12"/>
      <c r="L34" s="12"/>
      <c r="M34" s="12">
        <f t="shared" si="12"/>
        <v>2000</v>
      </c>
      <c r="N34" s="12"/>
      <c r="O34" s="374">
        <f>M34+N34</f>
        <v>2000</v>
      </c>
      <c r="P34" s="174"/>
    </row>
    <row r="35" spans="1:16" x14ac:dyDescent="0.25">
      <c r="A35" s="67">
        <v>6421</v>
      </c>
      <c r="B35" s="67" t="s">
        <v>474</v>
      </c>
      <c r="C35" s="67"/>
      <c r="D35" s="69"/>
      <c r="E35" s="72"/>
      <c r="F35" s="263"/>
      <c r="G35" s="12">
        <v>300</v>
      </c>
      <c r="H35" s="12">
        <v>-300</v>
      </c>
      <c r="I35" s="12">
        <f t="shared" si="11"/>
        <v>0</v>
      </c>
      <c r="J35" s="12">
        <f t="shared" si="13"/>
        <v>0</v>
      </c>
      <c r="K35" s="12"/>
      <c r="L35" s="12"/>
      <c r="M35" s="12">
        <f t="shared" si="12"/>
        <v>0</v>
      </c>
      <c r="N35" s="12"/>
      <c r="O35" s="374">
        <f t="shared" si="8"/>
        <v>0</v>
      </c>
      <c r="P35" s="174"/>
    </row>
    <row r="36" spans="1:16" x14ac:dyDescent="0.25">
      <c r="A36" s="67">
        <v>6422</v>
      </c>
      <c r="B36" s="67" t="s">
        <v>152</v>
      </c>
      <c r="C36" s="67"/>
      <c r="D36" s="67"/>
      <c r="E36" s="69"/>
      <c r="F36" s="263">
        <v>8074.63</v>
      </c>
      <c r="G36" s="12">
        <f>22000+3000</f>
        <v>25000</v>
      </c>
      <c r="H36" s="12"/>
      <c r="I36" s="12">
        <f t="shared" si="11"/>
        <v>25000</v>
      </c>
      <c r="J36" s="12">
        <f t="shared" si="13"/>
        <v>25000</v>
      </c>
      <c r="K36" s="12">
        <v>12872.45</v>
      </c>
      <c r="L36" s="12"/>
      <c r="M36" s="12">
        <f t="shared" si="12"/>
        <v>25000</v>
      </c>
      <c r="N36" s="12">
        <v>-7000</v>
      </c>
      <c r="O36" s="374">
        <f t="shared" si="8"/>
        <v>18000</v>
      </c>
      <c r="P36" s="174">
        <v>16576.77</v>
      </c>
    </row>
    <row r="37" spans="1:16" x14ac:dyDescent="0.25">
      <c r="A37" s="67">
        <v>6422</v>
      </c>
      <c r="B37" s="683" t="s">
        <v>153</v>
      </c>
      <c r="C37" s="684"/>
      <c r="D37" s="684"/>
      <c r="E37" s="684"/>
      <c r="F37" s="263"/>
      <c r="G37" s="12">
        <v>185</v>
      </c>
      <c r="H37" s="12"/>
      <c r="I37" s="12">
        <f t="shared" si="11"/>
        <v>185</v>
      </c>
      <c r="J37" s="12">
        <f t="shared" si="13"/>
        <v>185</v>
      </c>
      <c r="K37" s="12"/>
      <c r="L37" s="12">
        <v>-185</v>
      </c>
      <c r="M37" s="12">
        <f t="shared" si="12"/>
        <v>0</v>
      </c>
      <c r="N37" s="12"/>
      <c r="O37" s="374">
        <f t="shared" si="8"/>
        <v>0</v>
      </c>
      <c r="P37" s="174"/>
    </row>
    <row r="38" spans="1:16" x14ac:dyDescent="0.25">
      <c r="A38" s="67">
        <v>6422</v>
      </c>
      <c r="B38" s="683" t="s">
        <v>616</v>
      </c>
      <c r="C38" s="684"/>
      <c r="D38" s="684"/>
      <c r="E38" s="684"/>
      <c r="F38" s="263">
        <v>4.55</v>
      </c>
      <c r="G38" s="12">
        <v>130</v>
      </c>
      <c r="H38" s="12"/>
      <c r="I38" s="12">
        <f t="shared" si="11"/>
        <v>130</v>
      </c>
      <c r="J38" s="12">
        <f t="shared" si="13"/>
        <v>130</v>
      </c>
      <c r="K38" s="12">
        <v>64.95</v>
      </c>
      <c r="L38" s="12"/>
      <c r="M38" s="12">
        <f t="shared" si="12"/>
        <v>130</v>
      </c>
      <c r="N38" s="12">
        <v>-50</v>
      </c>
      <c r="O38" s="374">
        <f t="shared" si="8"/>
        <v>80</v>
      </c>
      <c r="P38" s="174">
        <v>77.900000000000006</v>
      </c>
    </row>
    <row r="39" spans="1:16" x14ac:dyDescent="0.25">
      <c r="A39" s="67">
        <v>6422</v>
      </c>
      <c r="B39" s="67" t="s">
        <v>154</v>
      </c>
      <c r="C39" s="67"/>
      <c r="D39" s="67"/>
      <c r="E39" s="69"/>
      <c r="F39" s="263"/>
      <c r="G39" s="12">
        <v>50</v>
      </c>
      <c r="H39" s="12"/>
      <c r="I39" s="12">
        <f t="shared" si="11"/>
        <v>50</v>
      </c>
      <c r="J39" s="12">
        <f t="shared" si="13"/>
        <v>50</v>
      </c>
      <c r="K39" s="12"/>
      <c r="L39" s="12"/>
      <c r="M39" s="12">
        <f t="shared" si="12"/>
        <v>50</v>
      </c>
      <c r="N39" s="12"/>
      <c r="O39" s="374">
        <f t="shared" si="8"/>
        <v>50</v>
      </c>
      <c r="P39" s="174"/>
    </row>
    <row r="40" spans="1:16" x14ac:dyDescent="0.25">
      <c r="A40" s="67">
        <v>6423</v>
      </c>
      <c r="B40" s="67" t="s">
        <v>475</v>
      </c>
      <c r="C40" s="67"/>
      <c r="D40" s="69"/>
      <c r="E40" s="72"/>
      <c r="F40" s="263">
        <v>59.85</v>
      </c>
      <c r="G40" s="12">
        <v>250</v>
      </c>
      <c r="H40" s="12"/>
      <c r="I40" s="12">
        <f t="shared" si="11"/>
        <v>250</v>
      </c>
      <c r="J40" s="12">
        <f t="shared" si="13"/>
        <v>250</v>
      </c>
      <c r="K40" s="12">
        <v>59.85</v>
      </c>
      <c r="L40" s="12"/>
      <c r="M40" s="12">
        <f t="shared" si="12"/>
        <v>250</v>
      </c>
      <c r="N40" s="12">
        <v>-190</v>
      </c>
      <c r="O40" s="374">
        <f t="shared" si="8"/>
        <v>60</v>
      </c>
      <c r="P40" s="174">
        <v>59.85</v>
      </c>
    </row>
    <row r="41" spans="1:16" x14ac:dyDescent="0.25">
      <c r="A41" s="67">
        <v>6423</v>
      </c>
      <c r="B41" s="67" t="s">
        <v>155</v>
      </c>
      <c r="C41" s="67"/>
      <c r="D41" s="69"/>
      <c r="E41" s="72"/>
      <c r="F41" s="263">
        <v>44.55</v>
      </c>
      <c r="G41" s="12">
        <v>60</v>
      </c>
      <c r="H41" s="12"/>
      <c r="I41" s="12">
        <f t="shared" si="11"/>
        <v>60</v>
      </c>
      <c r="J41" s="12">
        <f t="shared" si="13"/>
        <v>60</v>
      </c>
      <c r="K41" s="12">
        <v>44.55</v>
      </c>
      <c r="L41" s="12"/>
      <c r="M41" s="12">
        <f t="shared" si="12"/>
        <v>60</v>
      </c>
      <c r="N41" s="12"/>
      <c r="O41" s="374">
        <f t="shared" si="8"/>
        <v>60</v>
      </c>
      <c r="P41" s="174">
        <v>44.55</v>
      </c>
    </row>
    <row r="42" spans="1:16" x14ac:dyDescent="0.25">
      <c r="A42" s="67">
        <v>6423</v>
      </c>
      <c r="B42" s="186" t="s">
        <v>785</v>
      </c>
      <c r="C42" s="187"/>
      <c r="D42" s="187"/>
      <c r="E42" s="187"/>
      <c r="F42" s="263"/>
      <c r="G42" s="12">
        <v>100</v>
      </c>
      <c r="H42" s="12"/>
      <c r="I42" s="12">
        <f t="shared" si="11"/>
        <v>100</v>
      </c>
      <c r="J42" s="12">
        <f t="shared" si="13"/>
        <v>100</v>
      </c>
      <c r="K42" s="12"/>
      <c r="L42" s="12"/>
      <c r="M42" s="12">
        <f t="shared" si="12"/>
        <v>100</v>
      </c>
      <c r="N42" s="12"/>
      <c r="O42" s="374">
        <f t="shared" si="8"/>
        <v>100</v>
      </c>
      <c r="P42" s="174"/>
    </row>
    <row r="43" spans="1:16" x14ac:dyDescent="0.25">
      <c r="A43" s="67">
        <v>6423</v>
      </c>
      <c r="B43" s="67" t="s">
        <v>156</v>
      </c>
      <c r="C43" s="67"/>
      <c r="D43" s="67"/>
      <c r="E43" s="69"/>
      <c r="F43" s="263">
        <v>59105.29</v>
      </c>
      <c r="G43" s="12">
        <f>170000+10000+2000</f>
        <v>182000</v>
      </c>
      <c r="H43" s="12"/>
      <c r="I43" s="12">
        <f t="shared" si="11"/>
        <v>182000</v>
      </c>
      <c r="J43" s="12">
        <f t="shared" si="13"/>
        <v>182000</v>
      </c>
      <c r="K43" s="12">
        <v>102100.24</v>
      </c>
      <c r="L43" s="12">
        <v>-16000</v>
      </c>
      <c r="M43" s="12">
        <f t="shared" si="12"/>
        <v>166000</v>
      </c>
      <c r="N43" s="12">
        <v>-20000</v>
      </c>
      <c r="O43" s="374">
        <f t="shared" si="8"/>
        <v>146000</v>
      </c>
      <c r="P43" s="174">
        <v>123182.96</v>
      </c>
    </row>
    <row r="44" spans="1:16" x14ac:dyDescent="0.25">
      <c r="A44" s="67">
        <v>6423</v>
      </c>
      <c r="B44" s="67" t="s">
        <v>157</v>
      </c>
      <c r="C44" s="67"/>
      <c r="D44" s="67"/>
      <c r="E44" s="69"/>
      <c r="F44" s="263">
        <v>5056.74</v>
      </c>
      <c r="G44" s="12">
        <v>5050</v>
      </c>
      <c r="H44" s="12"/>
      <c r="I44" s="12">
        <f t="shared" si="11"/>
        <v>5050</v>
      </c>
      <c r="J44" s="12">
        <f t="shared" si="13"/>
        <v>5050</v>
      </c>
      <c r="K44" s="12">
        <v>5056.74</v>
      </c>
      <c r="L44" s="12"/>
      <c r="M44" s="12">
        <f t="shared" si="12"/>
        <v>5050</v>
      </c>
      <c r="N44" s="12"/>
      <c r="O44" s="374">
        <f t="shared" si="8"/>
        <v>5050</v>
      </c>
      <c r="P44" s="174">
        <v>5056.74</v>
      </c>
    </row>
    <row r="45" spans="1:16" x14ac:dyDescent="0.25">
      <c r="A45" s="136">
        <v>65</v>
      </c>
      <c r="B45" s="693" t="s">
        <v>769</v>
      </c>
      <c r="C45" s="694"/>
      <c r="D45" s="694"/>
      <c r="E45" s="695"/>
      <c r="F45" s="289">
        <f>F47+F49+F50+F52+F53+F54</f>
        <v>48115.31</v>
      </c>
      <c r="G45" s="291">
        <f>G47+G49+G50+G52+G53+G54</f>
        <v>121465</v>
      </c>
      <c r="H45" s="291">
        <f>H47+H49+H50+H52+H53+H54</f>
        <v>0</v>
      </c>
      <c r="I45" s="144">
        <f>I47+I49+I50+I52+I53+I54</f>
        <v>121465</v>
      </c>
      <c r="J45" s="291">
        <f>J47+J49+J50+J52+J53+J54</f>
        <v>121465</v>
      </c>
      <c r="K45" s="385">
        <f>K47+K49+K50+K52+K53+K54+K48</f>
        <v>72234.819999999992</v>
      </c>
      <c r="L45" s="144">
        <f t="shared" ref="L45:M45" si="14">L47+L49+L50+L52+L53+L54+L48</f>
        <v>185</v>
      </c>
      <c r="M45" s="144">
        <f t="shared" si="14"/>
        <v>121650</v>
      </c>
      <c r="N45" s="144"/>
      <c r="O45" s="374">
        <f t="shared" si="8"/>
        <v>121650</v>
      </c>
      <c r="P45" s="450"/>
    </row>
    <row r="46" spans="1:16" x14ac:dyDescent="0.25">
      <c r="A46" s="288"/>
      <c r="B46" s="696" t="s">
        <v>770</v>
      </c>
      <c r="C46" s="697"/>
      <c r="D46" s="697"/>
      <c r="E46" s="698"/>
      <c r="F46" s="290"/>
      <c r="G46" s="292"/>
      <c r="H46" s="292"/>
      <c r="I46" s="144"/>
      <c r="J46" s="292"/>
      <c r="K46" s="385"/>
      <c r="L46" s="144"/>
      <c r="M46" s="144"/>
      <c r="N46" s="144"/>
      <c r="O46" s="376"/>
      <c r="P46" s="450"/>
    </row>
    <row r="47" spans="1:16" x14ac:dyDescent="0.25">
      <c r="A47" s="67">
        <v>6512</v>
      </c>
      <c r="B47" s="67" t="s">
        <v>158</v>
      </c>
      <c r="C47" s="67"/>
      <c r="D47" s="69"/>
      <c r="E47" s="72"/>
      <c r="F47" s="263">
        <v>5403.51</v>
      </c>
      <c r="G47" s="12">
        <v>12000</v>
      </c>
      <c r="H47" s="12"/>
      <c r="I47" s="12">
        <f t="shared" ref="I47:I54" si="15">G47+H47</f>
        <v>12000</v>
      </c>
      <c r="J47" s="374">
        <f>G47+H47</f>
        <v>12000</v>
      </c>
      <c r="K47" s="12">
        <v>9850.15</v>
      </c>
      <c r="L47" s="12"/>
      <c r="M47" s="12">
        <f>J47+L47</f>
        <v>12000</v>
      </c>
      <c r="N47" s="12"/>
      <c r="O47" s="374">
        <f>M47+N47</f>
        <v>12000</v>
      </c>
      <c r="P47" s="174">
        <v>10560.17</v>
      </c>
    </row>
    <row r="48" spans="1:16" x14ac:dyDescent="0.25">
      <c r="A48" s="67">
        <v>6514</v>
      </c>
      <c r="B48" s="67" t="s">
        <v>811</v>
      </c>
      <c r="C48" s="69"/>
      <c r="D48" s="72"/>
      <c r="E48" s="72"/>
      <c r="F48" s="263"/>
      <c r="G48" s="12"/>
      <c r="H48" s="12"/>
      <c r="I48" s="12"/>
      <c r="J48" s="374"/>
      <c r="K48" s="12">
        <v>119.43</v>
      </c>
      <c r="L48" s="12">
        <v>185</v>
      </c>
      <c r="M48" s="12">
        <f t="shared" ref="M48:M54" si="16">J48+L48</f>
        <v>185</v>
      </c>
      <c r="N48" s="12">
        <v>50</v>
      </c>
      <c r="O48" s="374">
        <f t="shared" ref="O48:O61" si="17">M48+N48</f>
        <v>235</v>
      </c>
      <c r="P48" s="174">
        <v>205.7</v>
      </c>
    </row>
    <row r="49" spans="1:16" x14ac:dyDescent="0.25">
      <c r="A49" s="67">
        <v>6522</v>
      </c>
      <c r="B49" s="67" t="s">
        <v>159</v>
      </c>
      <c r="C49" s="69"/>
      <c r="D49" s="72"/>
      <c r="E49" s="72"/>
      <c r="F49" s="263">
        <v>138.31</v>
      </c>
      <c r="G49" s="12">
        <v>50</v>
      </c>
      <c r="H49" s="12"/>
      <c r="I49" s="12">
        <f t="shared" si="15"/>
        <v>50</v>
      </c>
      <c r="J49" s="374">
        <f t="shared" ref="J49:J54" si="18">G49+H49</f>
        <v>50</v>
      </c>
      <c r="K49" s="12">
        <v>148.38999999999999</v>
      </c>
      <c r="L49" s="12"/>
      <c r="M49" s="12">
        <f t="shared" si="16"/>
        <v>50</v>
      </c>
      <c r="N49" s="12">
        <v>100</v>
      </c>
      <c r="O49" s="374">
        <f t="shared" si="17"/>
        <v>150</v>
      </c>
      <c r="P49" s="174">
        <v>148.38999999999999</v>
      </c>
    </row>
    <row r="50" spans="1:16" x14ac:dyDescent="0.25">
      <c r="A50" s="67">
        <v>6524</v>
      </c>
      <c r="B50" s="67" t="s">
        <v>160</v>
      </c>
      <c r="C50" s="69"/>
      <c r="D50" s="72"/>
      <c r="E50" s="72"/>
      <c r="F50" s="263">
        <v>21984.93</v>
      </c>
      <c r="G50" s="12">
        <f>60000+2000</f>
        <v>62000</v>
      </c>
      <c r="H50" s="12"/>
      <c r="I50" s="12">
        <f t="shared" si="15"/>
        <v>62000</v>
      </c>
      <c r="J50" s="374">
        <f t="shared" si="18"/>
        <v>62000</v>
      </c>
      <c r="K50" s="12">
        <v>29009.97</v>
      </c>
      <c r="L50" s="12"/>
      <c r="M50" s="12">
        <f t="shared" si="16"/>
        <v>62000</v>
      </c>
      <c r="N50" s="12">
        <v>-10000</v>
      </c>
      <c r="O50" s="374">
        <f t="shared" si="17"/>
        <v>52000</v>
      </c>
      <c r="P50" s="174">
        <v>49079.06</v>
      </c>
    </row>
    <row r="51" spans="1:16" x14ac:dyDescent="0.25">
      <c r="A51" s="67">
        <v>6526</v>
      </c>
      <c r="B51" s="69" t="s">
        <v>854</v>
      </c>
      <c r="C51" s="72"/>
      <c r="D51" s="72"/>
      <c r="E51" s="72"/>
      <c r="F51" s="263"/>
      <c r="G51" s="12"/>
      <c r="H51" s="12"/>
      <c r="I51" s="12"/>
      <c r="J51" s="374"/>
      <c r="K51" s="12"/>
      <c r="L51" s="12"/>
      <c r="M51" s="12"/>
      <c r="N51" s="12">
        <v>600</v>
      </c>
      <c r="O51" s="374">
        <f t="shared" si="17"/>
        <v>600</v>
      </c>
      <c r="P51" s="174">
        <f>270+318.53</f>
        <v>588.53</v>
      </c>
    </row>
    <row r="52" spans="1:16" x14ac:dyDescent="0.25">
      <c r="A52" s="67">
        <v>6526</v>
      </c>
      <c r="B52" s="683" t="s">
        <v>161</v>
      </c>
      <c r="C52" s="684"/>
      <c r="D52" s="684"/>
      <c r="E52" s="684"/>
      <c r="F52" s="263">
        <v>13491.84</v>
      </c>
      <c r="G52" s="12">
        <v>31847</v>
      </c>
      <c r="H52" s="12"/>
      <c r="I52" s="12">
        <f t="shared" si="15"/>
        <v>31847</v>
      </c>
      <c r="J52" s="374">
        <f t="shared" si="18"/>
        <v>31847</v>
      </c>
      <c r="K52" s="12">
        <f>318.53+19567.75</f>
        <v>19886.28</v>
      </c>
      <c r="L52" s="12"/>
      <c r="M52" s="12">
        <f t="shared" si="16"/>
        <v>31847</v>
      </c>
      <c r="N52" s="12">
        <v>1700</v>
      </c>
      <c r="O52" s="374">
        <f t="shared" si="17"/>
        <v>33547</v>
      </c>
      <c r="P52" s="174">
        <v>24902.06</v>
      </c>
    </row>
    <row r="53" spans="1:16" x14ac:dyDescent="0.25">
      <c r="A53" s="67">
        <v>6531</v>
      </c>
      <c r="B53" s="683" t="s">
        <v>162</v>
      </c>
      <c r="C53" s="684"/>
      <c r="D53" s="684"/>
      <c r="E53" s="684"/>
      <c r="F53" s="263"/>
      <c r="G53" s="12">
        <v>100</v>
      </c>
      <c r="H53" s="12"/>
      <c r="I53" s="12">
        <f t="shared" si="15"/>
        <v>100</v>
      </c>
      <c r="J53" s="374">
        <f t="shared" si="18"/>
        <v>100</v>
      </c>
      <c r="K53" s="12"/>
      <c r="L53" s="12"/>
      <c r="M53" s="12">
        <f t="shared" si="16"/>
        <v>100</v>
      </c>
      <c r="N53" s="12"/>
      <c r="O53" s="374">
        <f t="shared" si="17"/>
        <v>100</v>
      </c>
      <c r="P53" s="174"/>
    </row>
    <row r="54" spans="1:16" x14ac:dyDescent="0.25">
      <c r="A54" s="67">
        <v>6532</v>
      </c>
      <c r="B54" s="683" t="s">
        <v>163</v>
      </c>
      <c r="C54" s="684"/>
      <c r="D54" s="684"/>
      <c r="E54" s="684"/>
      <c r="F54" s="263">
        <v>7096.72</v>
      </c>
      <c r="G54" s="12">
        <f>15000+468</f>
        <v>15468</v>
      </c>
      <c r="H54" s="12"/>
      <c r="I54" s="12">
        <f t="shared" si="15"/>
        <v>15468</v>
      </c>
      <c r="J54" s="374">
        <f t="shared" si="18"/>
        <v>15468</v>
      </c>
      <c r="K54" s="12">
        <v>13220.6</v>
      </c>
      <c r="L54" s="12"/>
      <c r="M54" s="12">
        <f t="shared" si="16"/>
        <v>15468</v>
      </c>
      <c r="N54" s="12">
        <v>4000</v>
      </c>
      <c r="O54" s="374">
        <f t="shared" si="17"/>
        <v>19468</v>
      </c>
      <c r="P54" s="174">
        <v>17376.189999999999</v>
      </c>
    </row>
    <row r="55" spans="1:16" x14ac:dyDescent="0.25">
      <c r="A55" s="140">
        <v>66</v>
      </c>
      <c r="B55" s="258" t="s">
        <v>724</v>
      </c>
      <c r="C55" s="259"/>
      <c r="D55" s="259"/>
      <c r="E55" s="259"/>
      <c r="F55" s="268">
        <f>F56</f>
        <v>107.27</v>
      </c>
      <c r="G55" s="268">
        <f t="shared" ref="G55:H55" si="19">G56</f>
        <v>0</v>
      </c>
      <c r="H55" s="268">
        <f t="shared" si="19"/>
        <v>1000</v>
      </c>
      <c r="I55" s="268">
        <f>I56</f>
        <v>0</v>
      </c>
      <c r="J55" s="390">
        <f t="shared" ref="J55:M55" si="20">J56</f>
        <v>1000</v>
      </c>
      <c r="K55" s="386">
        <f t="shared" si="20"/>
        <v>371.12</v>
      </c>
      <c r="L55" s="268">
        <f t="shared" si="20"/>
        <v>0</v>
      </c>
      <c r="M55" s="268">
        <f t="shared" si="20"/>
        <v>1000</v>
      </c>
      <c r="N55" s="268"/>
      <c r="O55" s="374">
        <f t="shared" si="17"/>
        <v>1000</v>
      </c>
      <c r="P55" s="452"/>
    </row>
    <row r="56" spans="1:16" x14ac:dyDescent="0.25">
      <c r="A56" s="67">
        <v>6614</v>
      </c>
      <c r="B56" s="186" t="s">
        <v>474</v>
      </c>
      <c r="C56" s="187"/>
      <c r="D56" s="187"/>
      <c r="E56" s="187"/>
      <c r="F56" s="263">
        <v>107.27</v>
      </c>
      <c r="G56" s="12"/>
      <c r="H56" s="12">
        <v>1000</v>
      </c>
      <c r="I56" s="12"/>
      <c r="J56" s="374">
        <f>G56+H56</f>
        <v>1000</v>
      </c>
      <c r="K56" s="12">
        <v>371.12</v>
      </c>
      <c r="L56" s="12"/>
      <c r="M56" s="12">
        <f>J56+L56</f>
        <v>1000</v>
      </c>
      <c r="N56" s="12">
        <v>-250</v>
      </c>
      <c r="O56" s="374">
        <f t="shared" si="17"/>
        <v>750</v>
      </c>
      <c r="P56" s="174">
        <v>519.29999999999995</v>
      </c>
    </row>
    <row r="57" spans="1:16" x14ac:dyDescent="0.25">
      <c r="A57" s="35">
        <v>7</v>
      </c>
      <c r="B57" s="671" t="s">
        <v>2</v>
      </c>
      <c r="C57" s="671"/>
      <c r="D57" s="671"/>
      <c r="E57" s="672"/>
      <c r="F57" s="156">
        <f t="shared" ref="F57:M58" si="21">F58</f>
        <v>1133.94</v>
      </c>
      <c r="G57" s="31">
        <f t="shared" si="21"/>
        <v>500</v>
      </c>
      <c r="H57" s="31">
        <f t="shared" si="21"/>
        <v>0</v>
      </c>
      <c r="I57" s="31">
        <f t="shared" si="21"/>
        <v>500</v>
      </c>
      <c r="J57" s="372">
        <f t="shared" si="21"/>
        <v>500</v>
      </c>
      <c r="K57" s="385">
        <f t="shared" si="21"/>
        <v>510.27</v>
      </c>
      <c r="L57" s="31">
        <f t="shared" si="21"/>
        <v>0</v>
      </c>
      <c r="M57" s="31">
        <f t="shared" si="21"/>
        <v>500</v>
      </c>
      <c r="N57" s="31"/>
      <c r="O57" s="374">
        <f t="shared" si="17"/>
        <v>500</v>
      </c>
      <c r="P57" s="450"/>
    </row>
    <row r="58" spans="1:16" x14ac:dyDescent="0.25">
      <c r="A58" s="140">
        <v>72</v>
      </c>
      <c r="B58" s="140" t="s">
        <v>164</v>
      </c>
      <c r="C58" s="140"/>
      <c r="D58" s="140"/>
      <c r="E58" s="142"/>
      <c r="F58" s="262">
        <f>F59</f>
        <v>1133.94</v>
      </c>
      <c r="G58" s="141">
        <f>G59</f>
        <v>500</v>
      </c>
      <c r="H58" s="141">
        <f t="shared" si="21"/>
        <v>0</v>
      </c>
      <c r="I58" s="141">
        <f t="shared" si="21"/>
        <v>500</v>
      </c>
      <c r="J58" s="373">
        <f>J59</f>
        <v>500</v>
      </c>
      <c r="K58" s="12">
        <f t="shared" si="21"/>
        <v>510.27</v>
      </c>
      <c r="L58" s="141">
        <f t="shared" si="21"/>
        <v>0</v>
      </c>
      <c r="M58" s="141">
        <f t="shared" si="21"/>
        <v>500</v>
      </c>
      <c r="N58" s="141"/>
      <c r="O58" s="374">
        <f t="shared" si="17"/>
        <v>500</v>
      </c>
      <c r="P58" s="174"/>
    </row>
    <row r="59" spans="1:16" x14ac:dyDescent="0.25">
      <c r="A59" s="67">
        <v>7211</v>
      </c>
      <c r="B59" s="67" t="s">
        <v>165</v>
      </c>
      <c r="C59" s="69"/>
      <c r="D59" s="72"/>
      <c r="E59" s="72"/>
      <c r="F59" s="263">
        <v>1133.94</v>
      </c>
      <c r="G59" s="12">
        <v>500</v>
      </c>
      <c r="H59" s="12"/>
      <c r="I59" s="12">
        <f>G59+H59</f>
        <v>500</v>
      </c>
      <c r="J59" s="374">
        <f>G59+H59</f>
        <v>500</v>
      </c>
      <c r="K59" s="12">
        <v>510.27</v>
      </c>
      <c r="L59" s="12"/>
      <c r="M59" s="12">
        <f>J59+L59</f>
        <v>500</v>
      </c>
      <c r="N59" s="12"/>
      <c r="O59" s="374">
        <f t="shared" si="17"/>
        <v>500</v>
      </c>
      <c r="P59" s="174"/>
    </row>
    <row r="60" spans="1:16" x14ac:dyDescent="0.25">
      <c r="A60" s="69"/>
      <c r="B60" s="72"/>
      <c r="C60" s="74"/>
      <c r="D60" s="72"/>
      <c r="E60" s="70"/>
      <c r="F60" s="154"/>
      <c r="G60" s="7"/>
      <c r="H60" s="7"/>
      <c r="I60" s="7"/>
      <c r="J60" s="7"/>
      <c r="K60" s="12"/>
      <c r="L60" s="12"/>
      <c r="M60" s="12"/>
      <c r="N60" s="7"/>
      <c r="O60" s="374">
        <f t="shared" si="17"/>
        <v>0</v>
      </c>
      <c r="P60" s="174"/>
    </row>
    <row r="61" spans="1:16" x14ac:dyDescent="0.25">
      <c r="A61" s="673" t="s">
        <v>370</v>
      </c>
      <c r="B61" s="674"/>
      <c r="C61" s="674"/>
      <c r="D61" s="674"/>
      <c r="E61" s="675"/>
      <c r="F61" s="265">
        <f>F57+F2</f>
        <v>401483.74</v>
      </c>
      <c r="G61" s="143">
        <f>G57+G2</f>
        <v>1705661</v>
      </c>
      <c r="H61" s="143">
        <f>H57+H2</f>
        <v>82492</v>
      </c>
      <c r="I61" s="143" t="e">
        <f>I57+I2</f>
        <v>#REF!</v>
      </c>
      <c r="J61" s="360">
        <f>J57+J2</f>
        <v>1788153</v>
      </c>
      <c r="K61" s="385">
        <f t="shared" ref="K61:N61" si="22">K57+K2</f>
        <v>832793.80999999994</v>
      </c>
      <c r="L61" s="143">
        <f t="shared" si="22"/>
        <v>26870</v>
      </c>
      <c r="M61" s="143">
        <f t="shared" si="22"/>
        <v>1815023</v>
      </c>
      <c r="N61" s="143">
        <f t="shared" si="22"/>
        <v>-452515</v>
      </c>
      <c r="O61" s="374">
        <f t="shared" si="17"/>
        <v>1362508</v>
      </c>
      <c r="P61" s="450">
        <f>SUM(P4:P59)</f>
        <v>1073153.4000000001</v>
      </c>
    </row>
    <row r="62" spans="1:16" ht="15.75" x14ac:dyDescent="0.25">
      <c r="A62" s="76"/>
      <c r="B62" s="76"/>
      <c r="C62" s="76"/>
      <c r="D62" s="76"/>
      <c r="E62" s="76"/>
      <c r="F62" s="266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25">
      <c r="H63" s="7"/>
    </row>
    <row r="64" spans="1:16" x14ac:dyDescent="0.25">
      <c r="H64" s="7"/>
    </row>
    <row r="65" spans="7:22" x14ac:dyDescent="0.25">
      <c r="G65" s="7">
        <f>'[1]Rashodi radni primjer '!E3</f>
        <v>0</v>
      </c>
      <c r="H65" s="7"/>
      <c r="J65" s="7">
        <f>'[1]Rashodi radni primjer '!I3</f>
        <v>2071120.11</v>
      </c>
      <c r="K65" s="7"/>
      <c r="L65" s="7"/>
      <c r="M65" s="7">
        <f>'Rashodi radni primjer '!K3</f>
        <v>2097990.1100000003</v>
      </c>
      <c r="N65" s="7">
        <f>'Rashodi radni primjer '!L3</f>
        <v>-452515</v>
      </c>
      <c r="O65" s="7">
        <f>'Rashodi radni primjer '!M3</f>
        <v>1645475.1100000003</v>
      </c>
      <c r="P65" s="7"/>
      <c r="Q65" s="7" t="s">
        <v>815</v>
      </c>
      <c r="T65" s="7" t="s">
        <v>864</v>
      </c>
      <c r="V65" t="s">
        <v>865</v>
      </c>
    </row>
    <row r="66" spans="7:22" x14ac:dyDescent="0.25">
      <c r="H66" s="7"/>
      <c r="T66" s="7">
        <f>O61+O69</f>
        <v>1645475.1099999999</v>
      </c>
      <c r="V66" s="7">
        <f>'Rashodi radni primjer '!M3</f>
        <v>1645475.1100000003</v>
      </c>
    </row>
    <row r="67" spans="7:22" x14ac:dyDescent="0.25">
      <c r="G67" s="7">
        <f>G61-G65</f>
        <v>1705661</v>
      </c>
      <c r="H67" s="7"/>
      <c r="J67" s="7">
        <f>J61-J65</f>
        <v>-282967.1100000001</v>
      </c>
      <c r="K67" s="7"/>
      <c r="L67" s="7"/>
      <c r="M67" s="7">
        <f>M61-M65</f>
        <v>-282967.11000000034</v>
      </c>
      <c r="N67" s="7">
        <f t="shared" ref="N67" si="23">N61-N65</f>
        <v>0</v>
      </c>
      <c r="O67" s="7">
        <f>O61</f>
        <v>1362508</v>
      </c>
      <c r="P67" s="7"/>
      <c r="Q67" s="7" t="s">
        <v>862</v>
      </c>
    </row>
    <row r="68" spans="7:22" x14ac:dyDescent="0.25">
      <c r="H68" s="7"/>
      <c r="U68" t="s">
        <v>863</v>
      </c>
    </row>
    <row r="69" spans="7:22" x14ac:dyDescent="0.25">
      <c r="G69" s="7">
        <f>300000+20000</f>
        <v>320000</v>
      </c>
      <c r="H69" s="7">
        <v>-37032.89</v>
      </c>
      <c r="J69" s="7">
        <f>G69+H69</f>
        <v>282967.11</v>
      </c>
      <c r="K69" s="7"/>
      <c r="L69" s="7"/>
      <c r="M69" s="7">
        <v>282967.11</v>
      </c>
      <c r="N69" s="7">
        <v>282967.11</v>
      </c>
      <c r="O69" s="7">
        <v>282967.11</v>
      </c>
      <c r="P69" s="7"/>
      <c r="Q69" s="7" t="s">
        <v>756</v>
      </c>
      <c r="U69" s="7">
        <f>T66-V66</f>
        <v>0</v>
      </c>
    </row>
    <row r="70" spans="7:22" x14ac:dyDescent="0.25">
      <c r="G70" s="7"/>
      <c r="H70" s="7"/>
      <c r="J70" s="7"/>
      <c r="K70" s="7"/>
      <c r="L70" s="7"/>
      <c r="M70" s="7"/>
      <c r="N70" s="7"/>
      <c r="O70" s="7"/>
      <c r="P70" s="7"/>
    </row>
    <row r="71" spans="7:22" x14ac:dyDescent="0.25">
      <c r="G71" s="7">
        <f>G67+G69</f>
        <v>2025661</v>
      </c>
      <c r="H71" s="7"/>
      <c r="J71" s="7">
        <f>J67+J69</f>
        <v>0</v>
      </c>
      <c r="K71" s="7"/>
      <c r="L71" s="7"/>
      <c r="M71" s="7">
        <f>M61+M69-M65</f>
        <v>0</v>
      </c>
      <c r="N71" s="7">
        <f t="shared" ref="N71" si="24">N61+N69-N65</f>
        <v>282967.11</v>
      </c>
      <c r="O71" s="7">
        <f>O61+O69-O65</f>
        <v>0</v>
      </c>
      <c r="P71" s="7"/>
      <c r="Q71" s="7" t="s">
        <v>757</v>
      </c>
    </row>
    <row r="72" spans="7:22" x14ac:dyDescent="0.25">
      <c r="G72" s="7"/>
      <c r="H72" s="7"/>
      <c r="J72" s="7"/>
      <c r="K72" s="7"/>
      <c r="L72" s="7"/>
      <c r="M72" s="7"/>
      <c r="N72" s="7"/>
      <c r="O72" s="7"/>
      <c r="P72" s="7"/>
    </row>
    <row r="73" spans="7:22" x14ac:dyDescent="0.25">
      <c r="G73" s="7"/>
      <c r="J73" s="7"/>
      <c r="K73" s="7"/>
      <c r="L73" s="7"/>
      <c r="M73" s="7"/>
      <c r="N73" s="7"/>
      <c r="O73" s="7"/>
      <c r="P73" s="7"/>
    </row>
    <row r="74" spans="7:22" x14ac:dyDescent="0.25">
      <c r="G74" s="7"/>
      <c r="J74" s="7"/>
      <c r="K74" s="7"/>
      <c r="L74" s="7"/>
      <c r="M74" s="7"/>
      <c r="N74" s="7"/>
      <c r="O74" s="7"/>
      <c r="P74" s="7"/>
    </row>
    <row r="75" spans="7:22" x14ac:dyDescent="0.25">
      <c r="G75" s="7"/>
      <c r="J75" s="7"/>
      <c r="K75" s="7"/>
      <c r="L75" s="7"/>
      <c r="M75" s="7"/>
      <c r="N75" s="7"/>
      <c r="O75" s="7"/>
      <c r="P75" s="7"/>
    </row>
    <row r="76" spans="7:22" x14ac:dyDescent="0.25">
      <c r="G76" s="7"/>
      <c r="J76" s="7"/>
      <c r="K76" s="7"/>
      <c r="L76" s="7"/>
      <c r="M76" s="7"/>
      <c r="N76" s="7"/>
      <c r="O76" s="7"/>
      <c r="P76" s="7"/>
    </row>
  </sheetData>
  <mergeCells count="35">
    <mergeCell ref="B23:E23"/>
    <mergeCell ref="F9:F10"/>
    <mergeCell ref="G9:G10"/>
    <mergeCell ref="H9:H10"/>
    <mergeCell ref="I9:I10"/>
    <mergeCell ref="B16:E16"/>
    <mergeCell ref="B17:E17"/>
    <mergeCell ref="B18:E18"/>
    <mergeCell ref="B21:E21"/>
    <mergeCell ref="B22:E22"/>
    <mergeCell ref="B53:E53"/>
    <mergeCell ref="B54:E54"/>
    <mergeCell ref="B57:E57"/>
    <mergeCell ref="A61:E61"/>
    <mergeCell ref="B24:E24"/>
    <mergeCell ref="B27:E27"/>
    <mergeCell ref="B29:E29"/>
    <mergeCell ref="B37:E37"/>
    <mergeCell ref="B38:E38"/>
    <mergeCell ref="B45:E45"/>
    <mergeCell ref="B46:E46"/>
    <mergeCell ref="B52:E52"/>
    <mergeCell ref="N9:N10"/>
    <mergeCell ref="O9:O10"/>
    <mergeCell ref="B13:E13"/>
    <mergeCell ref="A2:E2"/>
    <mergeCell ref="B3:E3"/>
    <mergeCell ref="B4:E4"/>
    <mergeCell ref="B5:E5"/>
    <mergeCell ref="B7:E7"/>
    <mergeCell ref="B8:E8"/>
    <mergeCell ref="K9:K10"/>
    <mergeCell ref="L9:L10"/>
    <mergeCell ref="M9:M10"/>
    <mergeCell ref="J9:J1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2AFE-6586-4B6F-B6A3-331B1E5B90AE}">
  <dimension ref="A1:AB722"/>
  <sheetViews>
    <sheetView topLeftCell="A650" zoomScale="110" zoomScaleNormal="110" workbookViewId="0">
      <selection activeCell="A643" sqref="A643:XFD643"/>
    </sheetView>
  </sheetViews>
  <sheetFormatPr defaultRowHeight="15" x14ac:dyDescent="0.25"/>
  <cols>
    <col min="1" max="1" width="7.28515625" customWidth="1"/>
    <col min="2" max="2" width="6.140625" customWidth="1"/>
    <col min="4" max="4" width="10.140625" bestFit="1" customWidth="1"/>
    <col min="5" max="5" width="35" customWidth="1"/>
    <col min="6" max="6" width="1.5703125" style="7" customWidth="1"/>
    <col min="7" max="7" width="2.5703125" style="7" customWidth="1"/>
    <col min="8" max="9" width="1.7109375" style="7" customWidth="1"/>
    <col min="10" max="10" width="2.140625" style="7" customWidth="1"/>
    <col min="11" max="11" width="16.28515625" style="7" customWidth="1"/>
    <col min="12" max="12" width="14.7109375" style="7" customWidth="1"/>
    <col min="13" max="13" width="15.85546875" style="7" customWidth="1"/>
    <col min="14" max="14" width="16.28515625" style="7" customWidth="1"/>
    <col min="15" max="15" width="12.42578125" style="7" customWidth="1"/>
    <col min="16" max="16" width="13.5703125" style="7" customWidth="1"/>
    <col min="17" max="17" width="16.5703125" style="7" customWidth="1"/>
    <col min="18" max="19" width="10" style="7" bestFit="1" customWidth="1"/>
    <col min="20" max="21" width="9.140625" style="7"/>
  </cols>
  <sheetData>
    <row r="1" spans="1:28" ht="15.75" x14ac:dyDescent="0.25">
      <c r="A1" s="59"/>
      <c r="B1" s="64"/>
      <c r="C1" s="64"/>
      <c r="D1" s="64"/>
      <c r="E1" s="64"/>
      <c r="F1" s="66"/>
      <c r="G1" s="66"/>
      <c r="H1" s="66"/>
      <c r="I1" s="66"/>
      <c r="J1" s="66"/>
      <c r="K1" s="66"/>
      <c r="L1" s="66"/>
      <c r="M1" s="66"/>
      <c r="N1" s="66"/>
    </row>
    <row r="2" spans="1:28" ht="29.25" customHeight="1" x14ac:dyDescent="0.25">
      <c r="F2" s="85" t="s">
        <v>725</v>
      </c>
      <c r="G2" s="85" t="s">
        <v>371</v>
      </c>
      <c r="H2" s="85" t="s">
        <v>705</v>
      </c>
      <c r="I2" s="85" t="s">
        <v>706</v>
      </c>
      <c r="J2" s="85" t="s">
        <v>705</v>
      </c>
      <c r="K2" s="85" t="s">
        <v>793</v>
      </c>
      <c r="L2" s="445" t="s">
        <v>850</v>
      </c>
      <c r="M2" s="445" t="s">
        <v>851</v>
      </c>
      <c r="N2" s="445" t="s">
        <v>856</v>
      </c>
    </row>
    <row r="3" spans="1:28" ht="15.75" x14ac:dyDescent="0.25">
      <c r="A3" s="86" t="s">
        <v>128</v>
      </c>
      <c r="B3" s="86"/>
      <c r="C3" s="86"/>
      <c r="D3" s="86"/>
      <c r="E3" s="86"/>
      <c r="F3" s="87">
        <f>F4+F49</f>
        <v>519997.84099999996</v>
      </c>
      <c r="G3" s="87">
        <f>G4+G49</f>
        <v>2025661</v>
      </c>
      <c r="H3" s="87">
        <f t="shared" ref="H3:K3" si="0">H4+H49</f>
        <v>45459.11</v>
      </c>
      <c r="I3" s="87">
        <f t="shared" si="0"/>
        <v>2071120.11</v>
      </c>
      <c r="J3" s="87">
        <f t="shared" si="0"/>
        <v>26870</v>
      </c>
      <c r="K3" s="87">
        <f t="shared" si="0"/>
        <v>2097990.1100000003</v>
      </c>
      <c r="L3" s="361">
        <f>SUM(L10:L706)</f>
        <v>-452515</v>
      </c>
      <c r="M3" s="361">
        <f>K3+L3</f>
        <v>1645475.1100000003</v>
      </c>
      <c r="N3" s="361">
        <f>N8+N29+N42+N54+N115+N142+N150+N158+N170+N179+N195+N207+N219+N227+N235+N261+N251+N272+N282+N294+N303+N311+N319+N327+N335+N342+N345+N352+N361+N376+N387+N401+N417+N426+N440+N454+N463+N473+N492+N542+N558+N567+N576+N586+N597+N608+N617+N626+N636+N654+N662+N679+N689+N700</f>
        <v>1170461.29</v>
      </c>
    </row>
    <row r="4" spans="1:28" ht="15.75" x14ac:dyDescent="0.25">
      <c r="A4" s="88" t="s">
        <v>66</v>
      </c>
      <c r="B4" s="88"/>
      <c r="C4" s="88"/>
      <c r="D4" s="88"/>
      <c r="E4" s="88"/>
      <c r="F4" s="89">
        <f>F5</f>
        <v>15982.54</v>
      </c>
      <c r="G4" s="89">
        <f>G5</f>
        <v>71510</v>
      </c>
      <c r="H4" s="89">
        <f t="shared" ref="H4:K4" si="1">H5</f>
        <v>-1120</v>
      </c>
      <c r="I4" s="89">
        <f t="shared" si="1"/>
        <v>70390</v>
      </c>
      <c r="J4" s="89">
        <f t="shared" si="1"/>
        <v>-1850</v>
      </c>
      <c r="K4" s="89">
        <f t="shared" si="1"/>
        <v>68540</v>
      </c>
      <c r="L4" s="446"/>
      <c r="M4" s="446"/>
      <c r="N4" s="446"/>
    </row>
    <row r="5" spans="1:28" x14ac:dyDescent="0.25">
      <c r="A5" s="90" t="s">
        <v>185</v>
      </c>
      <c r="B5" s="90"/>
      <c r="C5" s="90"/>
      <c r="D5" s="90"/>
      <c r="E5" s="90"/>
      <c r="F5" s="91">
        <f>F6</f>
        <v>15982.54</v>
      </c>
      <c r="G5" s="91">
        <f>G6</f>
        <v>71510</v>
      </c>
      <c r="H5" s="91">
        <f t="shared" ref="H5:K5" si="2">H6</f>
        <v>-1120</v>
      </c>
      <c r="I5" s="91">
        <f t="shared" si="2"/>
        <v>70390</v>
      </c>
      <c r="J5" s="91">
        <f t="shared" si="2"/>
        <v>-1850</v>
      </c>
      <c r="K5" s="91">
        <f t="shared" si="2"/>
        <v>68540</v>
      </c>
      <c r="L5" s="362"/>
      <c r="M5" s="362"/>
      <c r="N5" s="362"/>
    </row>
    <row r="6" spans="1:28" x14ac:dyDescent="0.25">
      <c r="A6" s="13" t="s">
        <v>68</v>
      </c>
      <c r="B6" s="13"/>
      <c r="C6" s="13"/>
      <c r="D6" s="13"/>
      <c r="E6" s="13"/>
      <c r="F6" s="78">
        <f>F8+F29+F42</f>
        <v>15982.54</v>
      </c>
      <c r="G6" s="78">
        <f>G8+G29+G42</f>
        <v>71510</v>
      </c>
      <c r="H6" s="78">
        <f>H8+H29+H42</f>
        <v>-1120</v>
      </c>
      <c r="I6" s="78">
        <f>I8+I29+I42</f>
        <v>70390</v>
      </c>
      <c r="J6" s="78">
        <f t="shared" ref="J6:K6" si="3">J8+J29+J42</f>
        <v>-1850</v>
      </c>
      <c r="K6" s="78">
        <f t="shared" si="3"/>
        <v>68540</v>
      </c>
      <c r="L6" s="363"/>
      <c r="M6" s="363"/>
      <c r="N6" s="363"/>
    </row>
    <row r="7" spans="1:28" x14ac:dyDescent="0.25">
      <c r="A7" s="743" t="s">
        <v>388</v>
      </c>
      <c r="B7" s="744"/>
      <c r="C7" s="744"/>
      <c r="D7" s="744"/>
      <c r="E7" s="745"/>
      <c r="F7" s="174"/>
      <c r="G7" s="174"/>
      <c r="H7" s="248"/>
      <c r="I7" s="248"/>
      <c r="J7" s="248"/>
      <c r="K7" s="248"/>
      <c r="L7" s="248"/>
      <c r="M7" s="248"/>
      <c r="N7" s="248"/>
    </row>
    <row r="8" spans="1:28" x14ac:dyDescent="0.25">
      <c r="A8" s="92" t="s">
        <v>186</v>
      </c>
      <c r="B8" s="93"/>
      <c r="C8" s="93"/>
      <c r="D8" s="93"/>
      <c r="E8" s="93"/>
      <c r="F8" s="94">
        <f>F12+F14+F17+F19+F25</f>
        <v>13400.57</v>
      </c>
      <c r="G8" s="94">
        <f>G12+G14+G17+G19+G25</f>
        <v>43710</v>
      </c>
      <c r="H8" s="94">
        <f>H12+H14+H17+H19+H25</f>
        <v>0</v>
      </c>
      <c r="I8" s="249">
        <f>G8+H8</f>
        <v>43710</v>
      </c>
      <c r="J8" s="249">
        <f>J10</f>
        <v>12150</v>
      </c>
      <c r="K8" s="152">
        <f>I8+J8</f>
        <v>55860</v>
      </c>
      <c r="L8" s="249"/>
      <c r="M8" s="249"/>
      <c r="N8" s="249">
        <f>SUM(N10:N26)</f>
        <v>44957.47</v>
      </c>
      <c r="O8" s="7" t="s">
        <v>816</v>
      </c>
    </row>
    <row r="9" spans="1:28" x14ac:dyDescent="0.25">
      <c r="A9" s="95"/>
      <c r="F9" s="79"/>
      <c r="G9" s="79"/>
      <c r="H9" s="79"/>
      <c r="I9" s="79"/>
      <c r="J9" s="79"/>
      <c r="K9" s="79"/>
      <c r="L9" s="79"/>
      <c r="M9" s="79"/>
      <c r="N9" s="79"/>
      <c r="O9" s="7">
        <f>2120*6</f>
        <v>12720</v>
      </c>
      <c r="P9" s="7">
        <v>31</v>
      </c>
      <c r="Q9" s="7">
        <f>G11+G182+G496+G665+G57</f>
        <v>454573</v>
      </c>
    </row>
    <row r="10" spans="1:28" x14ac:dyDescent="0.25">
      <c r="A10" s="97">
        <v>3</v>
      </c>
      <c r="B10" s="63" t="s">
        <v>19</v>
      </c>
      <c r="C10" s="63"/>
      <c r="D10" s="63"/>
      <c r="E10" s="63"/>
      <c r="F10" s="79">
        <f>F11+F16+F24</f>
        <v>13400.57</v>
      </c>
      <c r="G10" s="79">
        <f>G11+G16+G24</f>
        <v>43710</v>
      </c>
      <c r="H10" s="79">
        <f>H11+H16+H24</f>
        <v>0</v>
      </c>
      <c r="I10" s="79">
        <f>G10+H10</f>
        <v>43710</v>
      </c>
      <c r="J10" s="79">
        <f>J11+J16</f>
        <v>12150</v>
      </c>
      <c r="K10" s="79">
        <f t="shared" ref="K10:K26" si="4">I10+J10</f>
        <v>55860</v>
      </c>
      <c r="L10" s="73"/>
      <c r="M10" s="79"/>
      <c r="N10" s="79"/>
      <c r="O10" s="7" t="s">
        <v>817</v>
      </c>
      <c r="P10" s="7">
        <v>32</v>
      </c>
      <c r="Q10" s="7">
        <f>G16+G32+G45+G64+G118+G153+G187+G222+G230+G238+G254+G264+G275+G285+G364+G379+G390+G404+G429+G443+G480+G503+G672</f>
        <v>501766</v>
      </c>
      <c r="Z10" s="7"/>
      <c r="AA10" s="7"/>
      <c r="AB10" s="7"/>
    </row>
    <row r="11" spans="1:28" x14ac:dyDescent="0.25">
      <c r="A11" s="97">
        <v>31</v>
      </c>
      <c r="B11" s="63" t="s">
        <v>166</v>
      </c>
      <c r="C11" s="63"/>
      <c r="D11" s="63"/>
      <c r="E11" s="63"/>
      <c r="F11" s="79">
        <f>F12+F14</f>
        <v>12125.82</v>
      </c>
      <c r="G11" s="79">
        <f>G12+G14</f>
        <v>29710</v>
      </c>
      <c r="H11" s="79">
        <f>H12+H14</f>
        <v>0</v>
      </c>
      <c r="I11" s="79">
        <f t="shared" ref="I11:I26" si="5">G11+H11</f>
        <v>29710</v>
      </c>
      <c r="J11" s="79">
        <f>J12+J14</f>
        <v>10150</v>
      </c>
      <c r="K11" s="79">
        <f t="shared" si="4"/>
        <v>39860</v>
      </c>
      <c r="L11" s="73"/>
      <c r="M11" s="79"/>
      <c r="N11" s="79"/>
      <c r="O11" s="7">
        <f>3850*3</f>
        <v>11550</v>
      </c>
      <c r="P11" s="7">
        <v>34</v>
      </c>
      <c r="Q11" s="7">
        <f>G121+G531</f>
        <v>3968</v>
      </c>
      <c r="Z11" s="7"/>
      <c r="AA11" s="7"/>
      <c r="AB11" s="7"/>
    </row>
    <row r="12" spans="1:28" x14ac:dyDescent="0.25">
      <c r="A12" s="97">
        <v>311</v>
      </c>
      <c r="B12" s="63" t="s">
        <v>187</v>
      </c>
      <c r="C12" s="63"/>
      <c r="D12" s="63"/>
      <c r="E12" s="63"/>
      <c r="F12" s="79">
        <f>F13</f>
        <v>10408.44</v>
      </c>
      <c r="G12" s="79">
        <f>G13</f>
        <v>25500</v>
      </c>
      <c r="H12" s="79">
        <f>H13</f>
        <v>0</v>
      </c>
      <c r="I12" s="79">
        <f t="shared" si="5"/>
        <v>25500</v>
      </c>
      <c r="J12" s="79">
        <f>J13</f>
        <v>8700</v>
      </c>
      <c r="K12" s="79">
        <f t="shared" si="4"/>
        <v>34200</v>
      </c>
      <c r="L12" s="73"/>
      <c r="M12" s="79"/>
      <c r="N12" s="79"/>
      <c r="P12" s="7">
        <v>35</v>
      </c>
      <c r="Q12" s="7">
        <f>G198+G411+G210</f>
        <v>25300</v>
      </c>
      <c r="Z12" s="7"/>
      <c r="AA12" s="7"/>
      <c r="AB12" s="7"/>
    </row>
    <row r="13" spans="1:28" ht="14.25" customHeight="1" x14ac:dyDescent="0.25">
      <c r="A13" s="98">
        <v>3111</v>
      </c>
      <c r="B13" t="s">
        <v>351</v>
      </c>
      <c r="F13" s="151">
        <f>7221.42+1105.35+2081.67</f>
        <v>10408.44</v>
      </c>
      <c r="G13" s="151">
        <v>25500</v>
      </c>
      <c r="H13" s="151"/>
      <c r="I13" s="79">
        <f t="shared" si="5"/>
        <v>25500</v>
      </c>
      <c r="J13" s="73">
        <v>8700</v>
      </c>
      <c r="K13" s="73">
        <f t="shared" si="4"/>
        <v>34200</v>
      </c>
      <c r="L13" s="73">
        <v>1000</v>
      </c>
      <c r="M13" s="79"/>
      <c r="N13" s="73">
        <f>18552.59+3238.16+5447.68</f>
        <v>27238.43</v>
      </c>
      <c r="O13" s="7">
        <f>2120*12</f>
        <v>25440</v>
      </c>
      <c r="P13" s="7">
        <v>36</v>
      </c>
      <c r="Q13" s="7">
        <f>G173+G201+G370+G548+G590</f>
        <v>45592</v>
      </c>
      <c r="Z13" s="7"/>
      <c r="AA13" s="7"/>
      <c r="AB13" s="7"/>
    </row>
    <row r="14" spans="1:28" x14ac:dyDescent="0.25">
      <c r="A14" s="97">
        <v>313</v>
      </c>
      <c r="B14" s="63" t="s">
        <v>169</v>
      </c>
      <c r="C14" s="63"/>
      <c r="D14" s="63"/>
      <c r="E14" s="63"/>
      <c r="F14" s="79">
        <f>F15</f>
        <v>1717.38</v>
      </c>
      <c r="G14" s="79">
        <f>G15</f>
        <v>4210</v>
      </c>
      <c r="H14" s="79">
        <f>H15</f>
        <v>0</v>
      </c>
      <c r="I14" s="79">
        <f t="shared" si="5"/>
        <v>4210</v>
      </c>
      <c r="J14" s="79">
        <f>J15</f>
        <v>1450</v>
      </c>
      <c r="K14" s="79">
        <f t="shared" si="4"/>
        <v>5660</v>
      </c>
      <c r="L14" s="73"/>
      <c r="M14" s="79"/>
      <c r="N14" s="79"/>
      <c r="P14" s="7">
        <v>37</v>
      </c>
      <c r="Q14" s="7">
        <f>G561+G570+G579+G639+G657</f>
        <v>68000</v>
      </c>
      <c r="Z14" s="7"/>
      <c r="AA14" s="7"/>
      <c r="AB14" s="7"/>
    </row>
    <row r="15" spans="1:28" x14ac:dyDescent="0.25">
      <c r="A15" s="98">
        <v>3132</v>
      </c>
      <c r="B15" t="s">
        <v>188</v>
      </c>
      <c r="F15" s="151">
        <v>1717.38</v>
      </c>
      <c r="G15" s="151">
        <v>4210</v>
      </c>
      <c r="H15" s="151"/>
      <c r="I15" s="73">
        <f t="shared" si="5"/>
        <v>4210</v>
      </c>
      <c r="J15" s="73">
        <f>1450</f>
        <v>1450</v>
      </c>
      <c r="K15" s="73">
        <f t="shared" si="4"/>
        <v>5660</v>
      </c>
      <c r="L15" s="73">
        <v>200</v>
      </c>
      <c r="M15" s="73"/>
      <c r="N15" s="73">
        <v>4494.32</v>
      </c>
      <c r="O15" s="7" t="s">
        <v>818</v>
      </c>
      <c r="P15" s="7">
        <v>38</v>
      </c>
      <c r="Q15" s="7">
        <f>G24+G36+G485+G592+G601+G611+G620+G629+G649+G683+G693+G703</f>
        <v>161862</v>
      </c>
      <c r="Z15" s="7"/>
      <c r="AA15" s="7"/>
      <c r="AB15" s="7"/>
    </row>
    <row r="16" spans="1:28" x14ac:dyDescent="0.25">
      <c r="A16" s="97">
        <v>32</v>
      </c>
      <c r="B16" s="63" t="s">
        <v>170</v>
      </c>
      <c r="C16" s="63"/>
      <c r="D16" s="63"/>
      <c r="E16" s="63"/>
      <c r="F16" s="79">
        <f>F17+F19</f>
        <v>1274.75</v>
      </c>
      <c r="G16" s="79">
        <f>G17+G19</f>
        <v>13000</v>
      </c>
      <c r="H16" s="79">
        <f>H17+H19</f>
        <v>0</v>
      </c>
      <c r="I16" s="79">
        <f t="shared" si="5"/>
        <v>13000</v>
      </c>
      <c r="J16" s="79">
        <f>J17+J19</f>
        <v>2000</v>
      </c>
      <c r="K16" s="79">
        <f t="shared" si="4"/>
        <v>15000</v>
      </c>
      <c r="L16" s="73"/>
      <c r="M16" s="79"/>
      <c r="N16" s="79"/>
      <c r="O16" s="7">
        <f>3300*3</f>
        <v>9900</v>
      </c>
      <c r="Q16" s="7">
        <f>SUM(Q9:Q15)</f>
        <v>1261061</v>
      </c>
      <c r="Z16" s="7"/>
      <c r="AA16" s="7"/>
      <c r="AB16" s="7"/>
    </row>
    <row r="17" spans="1:28" x14ac:dyDescent="0.25">
      <c r="A17" s="97">
        <v>321</v>
      </c>
      <c r="B17" s="63" t="s">
        <v>171</v>
      </c>
      <c r="C17" s="63"/>
      <c r="D17" s="63"/>
      <c r="E17" s="63"/>
      <c r="F17" s="79">
        <f>F18</f>
        <v>642.5</v>
      </c>
      <c r="G17" s="79">
        <f>G18</f>
        <v>1500</v>
      </c>
      <c r="H17" s="79">
        <f>H18</f>
        <v>0</v>
      </c>
      <c r="I17" s="79">
        <f t="shared" si="5"/>
        <v>1500</v>
      </c>
      <c r="J17" s="79"/>
      <c r="K17" s="79">
        <f t="shared" si="4"/>
        <v>1500</v>
      </c>
      <c r="L17" s="73"/>
      <c r="M17" s="79"/>
      <c r="N17" s="79"/>
      <c r="O17" s="7">
        <f>947.1*3</f>
        <v>2841.3</v>
      </c>
      <c r="Z17" s="7"/>
      <c r="AA17" s="7"/>
      <c r="AB17" s="7"/>
    </row>
    <row r="18" spans="1:28" x14ac:dyDescent="0.25">
      <c r="A18" s="98">
        <v>3214</v>
      </c>
      <c r="B18" t="s">
        <v>189</v>
      </c>
      <c r="F18" s="151">
        <v>642.5</v>
      </c>
      <c r="G18" s="151">
        <v>1500</v>
      </c>
      <c r="H18" s="151"/>
      <c r="I18" s="73">
        <f t="shared" si="5"/>
        <v>1500</v>
      </c>
      <c r="J18" s="73"/>
      <c r="K18" s="73">
        <f t="shared" si="4"/>
        <v>1500</v>
      </c>
      <c r="L18" s="73"/>
      <c r="M18" s="73"/>
      <c r="N18" s="73">
        <f>1174</f>
        <v>1174</v>
      </c>
      <c r="O18" s="7">
        <f>2841.3*31/100/2</f>
        <v>440.4015</v>
      </c>
      <c r="Z18" s="7"/>
      <c r="AA18" s="7"/>
      <c r="AB18" s="7"/>
    </row>
    <row r="19" spans="1:28" x14ac:dyDescent="0.25">
      <c r="A19" s="97">
        <v>329</v>
      </c>
      <c r="B19" s="63" t="s">
        <v>190</v>
      </c>
      <c r="C19" s="63"/>
      <c r="D19" s="63"/>
      <c r="E19" s="63"/>
      <c r="F19" s="79">
        <f>F20+F21+F22+F23</f>
        <v>632.25</v>
      </c>
      <c r="G19" s="79">
        <f>G20+G21+G22+G23</f>
        <v>11500</v>
      </c>
      <c r="H19" s="79">
        <f>H20+H21+H22+H23</f>
        <v>0</v>
      </c>
      <c r="I19" s="79">
        <f t="shared" si="5"/>
        <v>11500</v>
      </c>
      <c r="J19" s="79">
        <f>J20+J21+J22+J23</f>
        <v>2000</v>
      </c>
      <c r="K19" s="79">
        <f t="shared" si="4"/>
        <v>13500</v>
      </c>
      <c r="L19" s="79"/>
      <c r="M19" s="79"/>
      <c r="N19" s="79"/>
      <c r="O19" s="7">
        <f>O17+O18</f>
        <v>3281.7015000000001</v>
      </c>
      <c r="P19" s="7">
        <v>42</v>
      </c>
      <c r="Q19" s="7">
        <f>G145+G161+G314+G322+G330+G338+G355+G394+G420+G476+G536</f>
        <v>652600</v>
      </c>
      <c r="Z19" s="7"/>
      <c r="AA19" s="7"/>
      <c r="AB19" s="7"/>
    </row>
    <row r="20" spans="1:28" x14ac:dyDescent="0.25">
      <c r="A20" s="98">
        <v>3293</v>
      </c>
      <c r="B20" t="s">
        <v>191</v>
      </c>
      <c r="F20" s="151">
        <v>632.25</v>
      </c>
      <c r="G20" s="151">
        <v>4000</v>
      </c>
      <c r="H20" s="151"/>
      <c r="I20" s="73">
        <f t="shared" si="5"/>
        <v>4000</v>
      </c>
      <c r="J20" s="73"/>
      <c r="K20" s="73">
        <f t="shared" si="4"/>
        <v>4000</v>
      </c>
      <c r="L20" s="73"/>
      <c r="M20" s="73"/>
      <c r="N20" s="73">
        <v>7543.42</v>
      </c>
      <c r="O20"/>
      <c r="P20" s="7">
        <v>45</v>
      </c>
      <c r="Q20" s="7">
        <f>G297+G306+G435+G458+G467</f>
        <v>112000</v>
      </c>
      <c r="S20" s="151"/>
      <c r="Z20" s="7"/>
      <c r="AA20" s="7"/>
      <c r="AB20" s="7"/>
    </row>
    <row r="21" spans="1:28" x14ac:dyDescent="0.25">
      <c r="A21" s="98">
        <v>3293</v>
      </c>
      <c r="B21" t="s">
        <v>523</v>
      </c>
      <c r="F21" s="151"/>
      <c r="G21" s="151">
        <v>4000</v>
      </c>
      <c r="H21" s="151"/>
      <c r="I21" s="73">
        <f t="shared" si="5"/>
        <v>4000</v>
      </c>
      <c r="J21" s="73"/>
      <c r="K21" s="73">
        <f t="shared" si="4"/>
        <v>4000</v>
      </c>
      <c r="L21" s="73"/>
      <c r="M21" s="73"/>
      <c r="N21" s="73">
        <v>4507.3</v>
      </c>
      <c r="O21" s="7">
        <f>O9+O11+O16</f>
        <v>34170</v>
      </c>
      <c r="P21"/>
      <c r="Q21" s="7">
        <f>SUM(Q19:Q20)</f>
        <v>764600</v>
      </c>
      <c r="S21" s="151"/>
      <c r="Z21" s="7"/>
      <c r="AA21" s="7"/>
    </row>
    <row r="22" spans="1:28" x14ac:dyDescent="0.25">
      <c r="A22" s="98">
        <v>3293</v>
      </c>
      <c r="B22" t="s">
        <v>192</v>
      </c>
      <c r="F22" s="151"/>
      <c r="G22" s="151">
        <v>2000</v>
      </c>
      <c r="H22" s="151"/>
      <c r="I22" s="73">
        <f t="shared" si="5"/>
        <v>2000</v>
      </c>
      <c r="J22" s="73"/>
      <c r="K22" s="73">
        <f t="shared" si="4"/>
        <v>2000</v>
      </c>
      <c r="L22" s="73"/>
      <c r="M22" s="73"/>
      <c r="N22" s="73"/>
      <c r="O22" t="s">
        <v>819</v>
      </c>
      <c r="P22"/>
      <c r="Q22"/>
      <c r="S22" s="151"/>
      <c r="AA22" s="7"/>
    </row>
    <row r="23" spans="1:28" x14ac:dyDescent="0.25">
      <c r="A23" s="98">
        <v>3293</v>
      </c>
      <c r="B23" t="s">
        <v>193</v>
      </c>
      <c r="F23" s="151"/>
      <c r="G23" s="151">
        <v>1500</v>
      </c>
      <c r="H23" s="151"/>
      <c r="I23" s="73">
        <f t="shared" si="5"/>
        <v>1500</v>
      </c>
      <c r="J23" s="73">
        <v>2000</v>
      </c>
      <c r="K23" s="73">
        <f t="shared" si="4"/>
        <v>3500</v>
      </c>
      <c r="L23" s="73">
        <v>300</v>
      </c>
      <c r="M23" s="73"/>
      <c r="N23" s="73"/>
      <c r="O23"/>
      <c r="P23"/>
      <c r="Q23"/>
      <c r="S23" s="151"/>
    </row>
    <row r="24" spans="1:28" x14ac:dyDescent="0.25">
      <c r="A24" s="97">
        <v>38</v>
      </c>
      <c r="B24" s="63" t="s">
        <v>194</v>
      </c>
      <c r="C24" s="63"/>
      <c r="D24" s="63"/>
      <c r="E24" s="63"/>
      <c r="F24" s="79">
        <f t="shared" ref="F24:H25" si="6">F25</f>
        <v>0</v>
      </c>
      <c r="G24" s="79">
        <f t="shared" si="6"/>
        <v>1000</v>
      </c>
      <c r="H24" s="79">
        <f t="shared" si="6"/>
        <v>0</v>
      </c>
      <c r="I24" s="79">
        <f t="shared" si="5"/>
        <v>1000</v>
      </c>
      <c r="J24" s="79"/>
      <c r="K24" s="79">
        <f t="shared" si="4"/>
        <v>1000</v>
      </c>
      <c r="L24" s="79"/>
      <c r="M24" s="79"/>
      <c r="N24" s="79"/>
    </row>
    <row r="25" spans="1:28" x14ac:dyDescent="0.25">
      <c r="A25" s="97">
        <v>381</v>
      </c>
      <c r="B25" s="749" t="s">
        <v>195</v>
      </c>
      <c r="C25" s="749"/>
      <c r="D25" s="749"/>
      <c r="E25" s="749"/>
      <c r="F25" s="79">
        <f t="shared" si="6"/>
        <v>0</v>
      </c>
      <c r="G25" s="79">
        <f t="shared" si="6"/>
        <v>1000</v>
      </c>
      <c r="H25" s="79">
        <f t="shared" si="6"/>
        <v>0</v>
      </c>
      <c r="I25" s="79">
        <f t="shared" si="5"/>
        <v>1000</v>
      </c>
      <c r="J25" s="79"/>
      <c r="K25" s="79">
        <f t="shared" si="4"/>
        <v>1000</v>
      </c>
      <c r="L25" s="79"/>
      <c r="M25" s="79"/>
      <c r="N25" s="79"/>
    </row>
    <row r="26" spans="1:28" x14ac:dyDescent="0.25">
      <c r="A26" s="98">
        <v>381</v>
      </c>
      <c r="B26" s="62" t="s">
        <v>196</v>
      </c>
      <c r="G26" s="7">
        <f>2000-1000</f>
        <v>1000</v>
      </c>
      <c r="I26" s="73">
        <f t="shared" si="5"/>
        <v>1000</v>
      </c>
      <c r="J26" s="73"/>
      <c r="K26" s="73">
        <f t="shared" si="4"/>
        <v>1000</v>
      </c>
      <c r="L26" s="73"/>
      <c r="M26" s="73"/>
      <c r="N26" s="73"/>
    </row>
    <row r="27" spans="1:28" x14ac:dyDescent="0.25">
      <c r="A27" s="98"/>
    </row>
    <row r="28" spans="1:28" x14ac:dyDescent="0.25">
      <c r="A28" s="746" t="s">
        <v>388</v>
      </c>
      <c r="B28" s="747"/>
      <c r="C28" s="747"/>
      <c r="D28" s="747"/>
      <c r="E28" s="748"/>
      <c r="F28" s="200"/>
      <c r="G28" s="200"/>
      <c r="H28" s="248"/>
      <c r="I28" s="248"/>
      <c r="J28" s="248"/>
      <c r="K28" s="248"/>
      <c r="L28" s="248"/>
      <c r="M28" s="248"/>
      <c r="N28" s="248"/>
    </row>
    <row r="29" spans="1:28" x14ac:dyDescent="0.25">
      <c r="A29" s="750" t="s">
        <v>197</v>
      </c>
      <c r="B29" s="750"/>
      <c r="C29" s="750"/>
      <c r="D29" s="750"/>
      <c r="E29" s="750"/>
      <c r="F29" s="94">
        <f>F31</f>
        <v>2581.9700000000003</v>
      </c>
      <c r="G29" s="94">
        <f>G31</f>
        <v>5800</v>
      </c>
      <c r="H29" s="94">
        <f>H31</f>
        <v>-1120</v>
      </c>
      <c r="I29" s="249">
        <f>G29+H29</f>
        <v>4680</v>
      </c>
      <c r="J29" s="249"/>
      <c r="K29" s="152">
        <f>I29+J29</f>
        <v>4680</v>
      </c>
      <c r="L29" s="249"/>
      <c r="M29" s="249"/>
      <c r="N29" s="249">
        <f>SUM(N31:N39)</f>
        <v>4294.6000000000004</v>
      </c>
    </row>
    <row r="30" spans="1:28" x14ac:dyDescent="0.25">
      <c r="A30" s="97"/>
      <c r="B30" s="63"/>
      <c r="C30" s="63"/>
      <c r="D30" s="63"/>
      <c r="E30" s="63"/>
      <c r="F30" s="79"/>
      <c r="G30" s="79"/>
      <c r="H30" s="79"/>
      <c r="I30" s="79"/>
      <c r="J30" s="79"/>
      <c r="K30" s="79">
        <f t="shared" ref="K30:K39" si="7">I30+J30</f>
        <v>0</v>
      </c>
      <c r="L30" s="79"/>
      <c r="M30" s="79"/>
      <c r="N30" s="79"/>
    </row>
    <row r="31" spans="1:28" x14ac:dyDescent="0.25">
      <c r="A31" s="97">
        <v>3</v>
      </c>
      <c r="B31" s="63" t="s">
        <v>198</v>
      </c>
      <c r="C31" s="63"/>
      <c r="D31" s="63"/>
      <c r="E31" s="63"/>
      <c r="F31" s="79">
        <f>F32+F36</f>
        <v>2581.9700000000003</v>
      </c>
      <c r="G31" s="79">
        <f>G32+G36</f>
        <v>5800</v>
      </c>
      <c r="H31" s="79">
        <f>H32+H36</f>
        <v>-1120</v>
      </c>
      <c r="I31" s="79">
        <f>G31+H31</f>
        <v>4680</v>
      </c>
      <c r="J31" s="79"/>
      <c r="K31" s="79">
        <f t="shared" si="7"/>
        <v>4680</v>
      </c>
      <c r="L31" s="79"/>
      <c r="M31" s="79"/>
      <c r="N31" s="79"/>
    </row>
    <row r="32" spans="1:28" x14ac:dyDescent="0.25">
      <c r="A32" s="97">
        <v>32</v>
      </c>
      <c r="B32" s="63" t="s">
        <v>170</v>
      </c>
      <c r="C32" s="63"/>
      <c r="D32" s="63"/>
      <c r="E32" s="63"/>
      <c r="F32" s="79">
        <f>F33</f>
        <v>1201.97</v>
      </c>
      <c r="G32" s="79">
        <f>G33</f>
        <v>4150</v>
      </c>
      <c r="H32" s="79">
        <f>H33</f>
        <v>-1000</v>
      </c>
      <c r="I32" s="79">
        <f t="shared" ref="I32:I39" si="8">G32+H32</f>
        <v>3150</v>
      </c>
      <c r="J32" s="79"/>
      <c r="K32" s="79">
        <f t="shared" si="7"/>
        <v>3150</v>
      </c>
      <c r="L32" s="79"/>
      <c r="M32" s="79"/>
      <c r="N32" s="79"/>
    </row>
    <row r="33" spans="1:17" x14ac:dyDescent="0.25">
      <c r="A33" s="97">
        <v>329</v>
      </c>
      <c r="B33" s="63" t="s">
        <v>199</v>
      </c>
      <c r="C33" s="63"/>
      <c r="D33" s="63"/>
      <c r="E33" s="63"/>
      <c r="F33" s="79">
        <f>F34+F35</f>
        <v>1201.97</v>
      </c>
      <c r="G33" s="79">
        <f>G34+G35</f>
        <v>4150</v>
      </c>
      <c r="H33" s="79">
        <f>H34+H35</f>
        <v>-1000</v>
      </c>
      <c r="I33" s="79">
        <f t="shared" si="8"/>
        <v>3150</v>
      </c>
      <c r="J33" s="79"/>
      <c r="K33" s="79">
        <f t="shared" si="7"/>
        <v>3150</v>
      </c>
      <c r="L33" s="79"/>
      <c r="M33" s="79"/>
      <c r="N33" s="79"/>
    </row>
    <row r="34" spans="1:17" x14ac:dyDescent="0.25">
      <c r="A34" s="98">
        <v>3291</v>
      </c>
      <c r="B34" t="s">
        <v>200</v>
      </c>
      <c r="F34" s="7">
        <v>1201.97</v>
      </c>
      <c r="G34" s="7">
        <v>4000</v>
      </c>
      <c r="H34" s="7">
        <v>-1000</v>
      </c>
      <c r="I34" s="73">
        <f t="shared" si="8"/>
        <v>3000</v>
      </c>
      <c r="J34" s="73"/>
      <c r="K34" s="79">
        <f t="shared" si="7"/>
        <v>3000</v>
      </c>
      <c r="L34" s="73">
        <v>1500</v>
      </c>
      <c r="M34" s="73"/>
      <c r="N34" s="73">
        <v>2844.42</v>
      </c>
    </row>
    <row r="35" spans="1:17" x14ac:dyDescent="0.25">
      <c r="A35" s="100">
        <v>3291</v>
      </c>
      <c r="B35" s="62" t="s">
        <v>201</v>
      </c>
      <c r="C35" s="62"/>
      <c r="D35" s="62"/>
      <c r="E35" s="62"/>
      <c r="G35" s="7">
        <v>150</v>
      </c>
      <c r="I35" s="73">
        <f t="shared" si="8"/>
        <v>150</v>
      </c>
      <c r="J35" s="73"/>
      <c r="K35" s="79">
        <f t="shared" si="7"/>
        <v>150</v>
      </c>
      <c r="L35" s="73"/>
      <c r="M35" s="73"/>
      <c r="N35" s="73">
        <v>70.180000000000007</v>
      </c>
    </row>
    <row r="36" spans="1:17" x14ac:dyDescent="0.25">
      <c r="A36" s="97">
        <v>38</v>
      </c>
      <c r="B36" s="63" t="s">
        <v>194</v>
      </c>
      <c r="F36" s="79">
        <f>F37</f>
        <v>1380</v>
      </c>
      <c r="G36" s="79">
        <f>G37</f>
        <v>1650</v>
      </c>
      <c r="H36" s="79">
        <f>H37</f>
        <v>-120</v>
      </c>
      <c r="I36" s="79">
        <f t="shared" si="8"/>
        <v>1530</v>
      </c>
      <c r="J36" s="79"/>
      <c r="K36" s="79">
        <f t="shared" si="7"/>
        <v>1530</v>
      </c>
      <c r="L36" s="79"/>
      <c r="M36" s="79"/>
      <c r="N36" s="79"/>
    </row>
    <row r="37" spans="1:17" x14ac:dyDescent="0.25">
      <c r="A37" s="97">
        <v>381</v>
      </c>
      <c r="B37" s="63" t="s">
        <v>181</v>
      </c>
      <c r="F37" s="79">
        <f>F38+F39</f>
        <v>1380</v>
      </c>
      <c r="G37" s="79">
        <f>G38+G39</f>
        <v>1650</v>
      </c>
      <c r="H37" s="79">
        <f>H38+H39</f>
        <v>-120</v>
      </c>
      <c r="I37" s="79">
        <f t="shared" si="8"/>
        <v>1530</v>
      </c>
      <c r="J37" s="79"/>
      <c r="K37" s="79">
        <f t="shared" si="7"/>
        <v>1530</v>
      </c>
      <c r="L37" s="79"/>
      <c r="M37" s="79"/>
      <c r="N37" s="79"/>
    </row>
    <row r="38" spans="1:17" x14ac:dyDescent="0.25">
      <c r="A38" s="100">
        <v>3811</v>
      </c>
      <c r="B38" s="62" t="s">
        <v>202</v>
      </c>
      <c r="C38" s="62"/>
      <c r="D38" s="62"/>
      <c r="E38" s="62"/>
      <c r="G38" s="7">
        <v>150</v>
      </c>
      <c r="I38" s="73">
        <f t="shared" si="8"/>
        <v>150</v>
      </c>
      <c r="J38" s="73"/>
      <c r="K38" s="79">
        <f t="shared" si="7"/>
        <v>150</v>
      </c>
      <c r="L38" s="73"/>
      <c r="M38" s="73"/>
      <c r="N38" s="73"/>
    </row>
    <row r="39" spans="1:17" x14ac:dyDescent="0.25">
      <c r="A39" s="100">
        <v>3811</v>
      </c>
      <c r="B39" s="62" t="s">
        <v>203</v>
      </c>
      <c r="C39" s="62"/>
      <c r="D39" s="62"/>
      <c r="E39" s="62"/>
      <c r="F39" s="151">
        <f>150+615+300+150+165</f>
        <v>1380</v>
      </c>
      <c r="G39" s="151">
        <v>1500</v>
      </c>
      <c r="H39" s="151">
        <v>-120</v>
      </c>
      <c r="I39" s="73">
        <f t="shared" si="8"/>
        <v>1380</v>
      </c>
      <c r="J39" s="73"/>
      <c r="K39" s="79">
        <f t="shared" si="7"/>
        <v>1380</v>
      </c>
      <c r="L39" s="73"/>
      <c r="M39" s="73"/>
      <c r="N39" s="73">
        <f>150+615+300+150+165</f>
        <v>1380</v>
      </c>
    </row>
    <row r="40" spans="1:17" x14ac:dyDescent="0.25">
      <c r="A40" s="100"/>
      <c r="B40" s="62"/>
      <c r="C40" s="62"/>
      <c r="D40" s="62"/>
      <c r="E40" s="62"/>
      <c r="F40" s="151"/>
      <c r="G40" s="151"/>
      <c r="H40" s="151"/>
      <c r="I40" s="151"/>
      <c r="J40" s="151"/>
      <c r="K40" s="151"/>
      <c r="L40" s="151"/>
      <c r="M40" s="151"/>
      <c r="N40" s="151"/>
    </row>
    <row r="41" spans="1:17" x14ac:dyDescent="0.25">
      <c r="A41" s="743" t="s">
        <v>389</v>
      </c>
      <c r="B41" s="744"/>
      <c r="C41" s="744"/>
      <c r="D41" s="744"/>
      <c r="E41" s="745"/>
      <c r="F41" s="75"/>
      <c r="G41" s="75"/>
      <c r="H41" s="79"/>
      <c r="I41" s="79"/>
      <c r="J41" s="79"/>
      <c r="K41" s="79"/>
      <c r="L41" s="79"/>
      <c r="M41" s="79"/>
      <c r="N41" s="79"/>
    </row>
    <row r="42" spans="1:17" x14ac:dyDescent="0.25">
      <c r="A42" s="195" t="s">
        <v>544</v>
      </c>
      <c r="B42" s="195"/>
      <c r="C42" s="195"/>
      <c r="D42" s="195"/>
      <c r="E42" s="195"/>
      <c r="F42" s="99">
        <f>F44</f>
        <v>0</v>
      </c>
      <c r="G42" s="99">
        <f>G44</f>
        <v>22000</v>
      </c>
      <c r="H42" s="99">
        <f>H44</f>
        <v>0</v>
      </c>
      <c r="I42" s="152">
        <f>G42+H42</f>
        <v>22000</v>
      </c>
      <c r="J42" s="152">
        <f>J44</f>
        <v>-14000</v>
      </c>
      <c r="K42" s="152">
        <f>I42+J42</f>
        <v>8000</v>
      </c>
      <c r="L42" s="152"/>
      <c r="M42" s="152"/>
      <c r="N42" s="152"/>
    </row>
    <row r="43" spans="1:17" x14ac:dyDescent="0.25">
      <c r="A43" s="95"/>
      <c r="B43" s="60"/>
      <c r="C43" s="60"/>
      <c r="D43" s="60"/>
      <c r="E43" s="60"/>
      <c r="F43" s="79"/>
      <c r="G43" s="79"/>
      <c r="H43" s="79"/>
      <c r="I43" s="79"/>
      <c r="J43" s="79"/>
      <c r="K43" s="79">
        <f t="shared" ref="K43:K47" si="9">I43+J43</f>
        <v>0</v>
      </c>
      <c r="L43" s="79"/>
      <c r="M43" s="79"/>
      <c r="N43" s="79"/>
    </row>
    <row r="44" spans="1:17" x14ac:dyDescent="0.25">
      <c r="A44" s="97">
        <v>3</v>
      </c>
      <c r="B44" s="63" t="s">
        <v>19</v>
      </c>
      <c r="C44" s="63"/>
      <c r="D44" s="63"/>
      <c r="E44" s="63"/>
      <c r="F44" s="79">
        <f t="shared" ref="F44:H46" si="10">F45</f>
        <v>0</v>
      </c>
      <c r="G44" s="79">
        <f t="shared" si="10"/>
        <v>22000</v>
      </c>
      <c r="H44" s="79">
        <f t="shared" si="10"/>
        <v>0</v>
      </c>
      <c r="I44" s="79">
        <f>G44+H44</f>
        <v>22000</v>
      </c>
      <c r="J44" s="79">
        <f>J45</f>
        <v>-14000</v>
      </c>
      <c r="K44" s="79">
        <f t="shared" si="9"/>
        <v>8000</v>
      </c>
      <c r="L44" s="79"/>
      <c r="M44" s="79"/>
      <c r="N44" s="79"/>
    </row>
    <row r="45" spans="1:17" x14ac:dyDescent="0.25">
      <c r="A45" s="97">
        <v>32</v>
      </c>
      <c r="B45" s="63" t="s">
        <v>170</v>
      </c>
      <c r="C45" s="63"/>
      <c r="D45" s="63"/>
      <c r="E45" s="63"/>
      <c r="F45" s="79">
        <f t="shared" si="10"/>
        <v>0</v>
      </c>
      <c r="G45" s="79">
        <f t="shared" si="10"/>
        <v>22000</v>
      </c>
      <c r="H45" s="79">
        <f t="shared" si="10"/>
        <v>0</v>
      </c>
      <c r="I45" s="79">
        <f t="shared" ref="I45:I47" si="11">G45+H45</f>
        <v>22000</v>
      </c>
      <c r="J45" s="79">
        <f>J46</f>
        <v>-14000</v>
      </c>
      <c r="K45" s="79">
        <f t="shared" si="9"/>
        <v>8000</v>
      </c>
      <c r="L45" s="79"/>
      <c r="M45" s="79"/>
      <c r="N45" s="79"/>
      <c r="O45" s="7" t="s">
        <v>549</v>
      </c>
      <c r="Q45" s="7">
        <v>5000</v>
      </c>
    </row>
    <row r="46" spans="1:17" x14ac:dyDescent="0.25">
      <c r="A46" s="97">
        <v>329</v>
      </c>
      <c r="B46" s="63" t="s">
        <v>199</v>
      </c>
      <c r="C46" s="63"/>
      <c r="D46" s="63"/>
      <c r="E46" s="63"/>
      <c r="F46" s="79">
        <f t="shared" si="10"/>
        <v>0</v>
      </c>
      <c r="G46" s="79">
        <f t="shared" si="10"/>
        <v>22000</v>
      </c>
      <c r="H46" s="79">
        <f t="shared" si="10"/>
        <v>0</v>
      </c>
      <c r="I46" s="79">
        <f t="shared" si="11"/>
        <v>22000</v>
      </c>
      <c r="J46" s="79">
        <f>J47</f>
        <v>-14000</v>
      </c>
      <c r="K46" s="79">
        <f t="shared" si="9"/>
        <v>8000</v>
      </c>
      <c r="L46" s="79"/>
      <c r="M46" s="79"/>
      <c r="N46" s="79"/>
      <c r="O46" s="7" t="s">
        <v>550</v>
      </c>
      <c r="Q46" s="7">
        <v>9000</v>
      </c>
    </row>
    <row r="47" spans="1:17" x14ac:dyDescent="0.25">
      <c r="A47" s="100">
        <v>3291</v>
      </c>
      <c r="B47" s="62" t="s">
        <v>552</v>
      </c>
      <c r="C47" s="62"/>
      <c r="D47" s="62"/>
      <c r="E47" s="62"/>
      <c r="F47" s="73"/>
      <c r="G47" s="73">
        <f>8000+9000+5000</f>
        <v>22000</v>
      </c>
      <c r="H47" s="73"/>
      <c r="I47" s="73">
        <f t="shared" si="11"/>
        <v>22000</v>
      </c>
      <c r="J47" s="73">
        <v>-14000</v>
      </c>
      <c r="K47" s="79">
        <f t="shared" si="9"/>
        <v>8000</v>
      </c>
      <c r="L47" s="73">
        <v>-8000</v>
      </c>
      <c r="M47" s="73"/>
      <c r="N47" s="73"/>
      <c r="O47" s="7" t="s">
        <v>551</v>
      </c>
      <c r="Q47" s="7">
        <v>8000</v>
      </c>
    </row>
    <row r="48" spans="1:17" x14ac:dyDescent="0.25">
      <c r="A48" s="98"/>
    </row>
    <row r="49" spans="1:20" ht="15.75" x14ac:dyDescent="0.25">
      <c r="A49" s="88" t="s">
        <v>72</v>
      </c>
      <c r="B49" s="88"/>
      <c r="C49" s="88"/>
      <c r="D49" s="88"/>
      <c r="E49" s="88"/>
      <c r="F49" s="103">
        <f t="shared" ref="F49:K49" si="12">F50+F191+F214+F489+F583+F605+F633+F697</f>
        <v>504015.30099999998</v>
      </c>
      <c r="G49" s="103">
        <f t="shared" si="12"/>
        <v>1954151</v>
      </c>
      <c r="H49" s="103">
        <f t="shared" si="12"/>
        <v>46579.11</v>
      </c>
      <c r="I49" s="103">
        <f t="shared" si="12"/>
        <v>2000730.11</v>
      </c>
      <c r="J49" s="103">
        <f t="shared" si="12"/>
        <v>28720</v>
      </c>
      <c r="K49" s="103">
        <f t="shared" si="12"/>
        <v>2029450.11</v>
      </c>
      <c r="L49" s="364"/>
      <c r="M49" s="364"/>
      <c r="N49" s="364"/>
    </row>
    <row r="50" spans="1:20" x14ac:dyDescent="0.25">
      <c r="A50" s="90" t="s">
        <v>204</v>
      </c>
      <c r="B50" s="90"/>
      <c r="C50" s="90"/>
      <c r="D50" s="90"/>
      <c r="E50" s="90"/>
      <c r="F50" s="91">
        <f t="shared" ref="F50:K50" si="13">F51+F168+F177</f>
        <v>84822.911000000007</v>
      </c>
      <c r="G50" s="91">
        <f t="shared" si="13"/>
        <v>302166</v>
      </c>
      <c r="H50" s="91">
        <f t="shared" si="13"/>
        <v>-12476</v>
      </c>
      <c r="I50" s="91">
        <f t="shared" si="13"/>
        <v>289690</v>
      </c>
      <c r="J50" s="91">
        <f t="shared" si="13"/>
        <v>8170</v>
      </c>
      <c r="K50" s="91">
        <f t="shared" si="13"/>
        <v>297860</v>
      </c>
      <c r="L50" s="362"/>
      <c r="M50" s="362"/>
      <c r="N50" s="362"/>
    </row>
    <row r="51" spans="1:20" x14ac:dyDescent="0.25">
      <c r="A51" s="751" t="s">
        <v>205</v>
      </c>
      <c r="B51" s="752"/>
      <c r="C51" s="752"/>
      <c r="D51" s="752"/>
      <c r="E51" s="753"/>
      <c r="F51" s="78">
        <f>F53+F115+F142+F158+F150</f>
        <v>83824.311000000002</v>
      </c>
      <c r="G51" s="78">
        <f>G53+G115+G142+G158+G150</f>
        <v>270176</v>
      </c>
      <c r="H51" s="78">
        <f>H53+H115+H142+H158+H150</f>
        <v>-10488</v>
      </c>
      <c r="I51" s="78">
        <f>I53+I115+I142+I158+I150</f>
        <v>259688</v>
      </c>
      <c r="J51" s="78">
        <f>J54+J115+J142+J150+J158</f>
        <v>8170</v>
      </c>
      <c r="K51" s="78">
        <f>K54+K115+K142+K150+K158</f>
        <v>267858</v>
      </c>
      <c r="L51" s="363"/>
      <c r="M51" s="363"/>
      <c r="N51" s="363"/>
    </row>
    <row r="52" spans="1:20" x14ac:dyDescent="0.25">
      <c r="A52" s="743" t="s">
        <v>389</v>
      </c>
      <c r="B52" s="744"/>
      <c r="C52" s="744"/>
      <c r="D52" s="744"/>
      <c r="E52" s="745"/>
      <c r="F52" s="104"/>
      <c r="G52" s="104"/>
      <c r="H52" s="250"/>
      <c r="I52" s="250"/>
      <c r="J52" s="250"/>
      <c r="K52" s="250"/>
      <c r="L52" s="250"/>
      <c r="M52" s="250"/>
      <c r="N52" s="250"/>
    </row>
    <row r="53" spans="1:20" x14ac:dyDescent="0.25">
      <c r="A53" s="105" t="s">
        <v>206</v>
      </c>
      <c r="B53" s="106"/>
      <c r="C53" s="106"/>
      <c r="D53" s="106"/>
      <c r="E53" s="106"/>
      <c r="F53" s="707">
        <f>F56</f>
        <v>77317.930999999997</v>
      </c>
      <c r="G53" s="707">
        <f>G56</f>
        <v>211476</v>
      </c>
      <c r="H53" s="707">
        <f>H56</f>
        <v>-2088</v>
      </c>
      <c r="I53" s="725">
        <f>I56</f>
        <v>209388</v>
      </c>
      <c r="J53" s="251"/>
      <c r="K53" s="251"/>
      <c r="L53" s="251"/>
      <c r="M53" s="251"/>
      <c r="N53" s="251"/>
    </row>
    <row r="54" spans="1:20" x14ac:dyDescent="0.25">
      <c r="A54" s="718" t="s">
        <v>207</v>
      </c>
      <c r="B54" s="719"/>
      <c r="C54" s="719"/>
      <c r="D54" s="719"/>
      <c r="E54" s="720"/>
      <c r="F54" s="708"/>
      <c r="G54" s="708"/>
      <c r="H54" s="708"/>
      <c r="I54" s="725"/>
      <c r="J54" s="251">
        <f>J56</f>
        <v>11670</v>
      </c>
      <c r="K54" s="197">
        <f>I53+J54</f>
        <v>221058</v>
      </c>
      <c r="L54" s="251"/>
      <c r="M54" s="251"/>
      <c r="N54" s="251">
        <f>SUM(N55:N113)</f>
        <v>157419.61000000004</v>
      </c>
    </row>
    <row r="55" spans="1:20" x14ac:dyDescent="0.25">
      <c r="A55" s="98"/>
      <c r="F55" s="151"/>
      <c r="G55" s="151"/>
      <c r="H55" s="151"/>
      <c r="I55" s="151"/>
      <c r="J55" s="151"/>
      <c r="K55" s="155"/>
      <c r="L55" s="151"/>
      <c r="M55" s="151"/>
      <c r="N55" s="151"/>
    </row>
    <row r="56" spans="1:20" x14ac:dyDescent="0.25">
      <c r="A56" s="97">
        <v>3</v>
      </c>
      <c r="B56" s="63" t="s">
        <v>19</v>
      </c>
      <c r="C56" s="63"/>
      <c r="D56" s="63"/>
      <c r="E56" s="63"/>
      <c r="F56" s="79">
        <f>F57+F64</f>
        <v>77317.930999999997</v>
      </c>
      <c r="G56" s="79">
        <f>G57+G64</f>
        <v>211476</v>
      </c>
      <c r="H56" s="79">
        <f>H57+H64</f>
        <v>-2088</v>
      </c>
      <c r="I56" s="79">
        <f>G56+H56</f>
        <v>209388</v>
      </c>
      <c r="J56" s="79">
        <f>J57+J64</f>
        <v>11670</v>
      </c>
      <c r="K56" s="155">
        <f>G56+H56+J56</f>
        <v>221058</v>
      </c>
      <c r="L56" s="79"/>
      <c r="M56" s="79"/>
      <c r="N56" s="79"/>
    </row>
    <row r="57" spans="1:20" x14ac:dyDescent="0.25">
      <c r="A57" s="97">
        <v>31</v>
      </c>
      <c r="B57" s="63" t="s">
        <v>166</v>
      </c>
      <c r="C57" s="63"/>
      <c r="D57" s="63"/>
      <c r="E57" s="63"/>
      <c r="F57" s="79">
        <f>F58+F60+F62</f>
        <v>41307.201000000001</v>
      </c>
      <c r="G57" s="79">
        <f>G58+G60+G62</f>
        <v>115860</v>
      </c>
      <c r="H57" s="79">
        <f>H58+H60+H62</f>
        <v>0</v>
      </c>
      <c r="I57" s="79">
        <f t="shared" ref="I57:I110" si="14">G57+H57</f>
        <v>115860</v>
      </c>
      <c r="J57" s="79">
        <f>J58+J60+J62</f>
        <v>600</v>
      </c>
      <c r="K57" s="155">
        <f t="shared" ref="K57:K112" si="15">G57+H57+J57</f>
        <v>116460</v>
      </c>
      <c r="L57" s="79"/>
      <c r="M57" s="79"/>
      <c r="N57" s="79"/>
    </row>
    <row r="58" spans="1:20" x14ac:dyDescent="0.25">
      <c r="A58" s="97">
        <v>311</v>
      </c>
      <c r="B58" s="63" t="s">
        <v>208</v>
      </c>
      <c r="C58" s="63"/>
      <c r="D58" s="63"/>
      <c r="E58" s="63"/>
      <c r="F58" s="79">
        <f>F59</f>
        <v>35432.040999999997</v>
      </c>
      <c r="G58" s="79">
        <f>G59</f>
        <v>96360</v>
      </c>
      <c r="H58" s="79">
        <f>H59</f>
        <v>0</v>
      </c>
      <c r="I58" s="79">
        <f t="shared" si="14"/>
        <v>96360</v>
      </c>
      <c r="J58" s="79"/>
      <c r="K58" s="155">
        <f t="shared" si="15"/>
        <v>96360</v>
      </c>
      <c r="L58" s="79"/>
      <c r="M58" s="79"/>
      <c r="N58" s="79"/>
      <c r="O58" s="7" t="s">
        <v>518</v>
      </c>
      <c r="P58" s="7" t="s">
        <v>519</v>
      </c>
      <c r="Q58" s="7" t="s">
        <v>520</v>
      </c>
      <c r="R58" s="7" t="s">
        <v>521</v>
      </c>
      <c r="S58" s="7" t="s">
        <v>522</v>
      </c>
    </row>
    <row r="59" spans="1:20" x14ac:dyDescent="0.25">
      <c r="A59" s="98">
        <v>3111</v>
      </c>
      <c r="B59" t="s">
        <v>352</v>
      </c>
      <c r="F59" s="151">
        <f>26633.321+1917.24+6881.48</f>
        <v>35432.040999999997</v>
      </c>
      <c r="G59" s="151">
        <f>21600+17400+18480+15360+12720+10800</f>
        <v>96360</v>
      </c>
      <c r="H59" s="151"/>
      <c r="I59" s="73">
        <f t="shared" si="14"/>
        <v>96360</v>
      </c>
      <c r="J59" s="73"/>
      <c r="K59" s="155">
        <f t="shared" si="15"/>
        <v>96360</v>
      </c>
      <c r="L59" s="254"/>
      <c r="M59" s="73"/>
      <c r="N59" s="73">
        <f>55070.19+3850.17+14078.17</f>
        <v>72998.53</v>
      </c>
      <c r="O59" s="7">
        <f>1800*12</f>
        <v>21600</v>
      </c>
      <c r="P59" s="7">
        <f>1450*12</f>
        <v>17400</v>
      </c>
      <c r="Q59" s="7">
        <f>1540*12</f>
        <v>18480</v>
      </c>
      <c r="R59" s="7">
        <f>1060*12</f>
        <v>12720</v>
      </c>
      <c r="S59" s="7">
        <f>900*12</f>
        <v>10800</v>
      </c>
    </row>
    <row r="60" spans="1:20" x14ac:dyDescent="0.25">
      <c r="A60" s="97">
        <v>312</v>
      </c>
      <c r="B60" s="63" t="s">
        <v>168</v>
      </c>
      <c r="C60" s="63"/>
      <c r="D60" s="63"/>
      <c r="E60" s="63"/>
      <c r="F60" s="79">
        <f>F61</f>
        <v>0</v>
      </c>
      <c r="G60" s="79">
        <f>G61</f>
        <v>3600</v>
      </c>
      <c r="H60" s="79">
        <f>H61</f>
        <v>0</v>
      </c>
      <c r="I60" s="79">
        <f t="shared" si="14"/>
        <v>3600</v>
      </c>
      <c r="J60" s="79">
        <f>J61</f>
        <v>600</v>
      </c>
      <c r="K60" s="155">
        <f t="shared" si="15"/>
        <v>4200</v>
      </c>
      <c r="L60" s="79"/>
      <c r="M60" s="79"/>
      <c r="N60" s="79"/>
    </row>
    <row r="61" spans="1:20" x14ac:dyDescent="0.25">
      <c r="A61" s="98">
        <v>3121</v>
      </c>
      <c r="B61" s="755" t="s">
        <v>209</v>
      </c>
      <c r="C61" s="755"/>
      <c r="D61" s="755"/>
      <c r="E61" s="755"/>
      <c r="F61" s="151"/>
      <c r="G61" s="151">
        <f>1800+1800</f>
        <v>3600</v>
      </c>
      <c r="H61" s="151"/>
      <c r="I61" s="73">
        <f t="shared" si="14"/>
        <v>3600</v>
      </c>
      <c r="J61" s="73">
        <v>600</v>
      </c>
      <c r="K61" s="155">
        <f t="shared" si="15"/>
        <v>4200</v>
      </c>
      <c r="L61" s="73"/>
      <c r="M61" s="73"/>
      <c r="N61" s="73">
        <v>1800</v>
      </c>
      <c r="O61" s="7">
        <f>300*6</f>
        <v>1800</v>
      </c>
      <c r="P61" s="7" t="s">
        <v>516</v>
      </c>
      <c r="R61" s="7" t="s">
        <v>517</v>
      </c>
      <c r="T61" s="7" t="s">
        <v>515</v>
      </c>
    </row>
    <row r="62" spans="1:20" x14ac:dyDescent="0.25">
      <c r="A62" s="97">
        <v>313</v>
      </c>
      <c r="B62" s="63" t="s">
        <v>169</v>
      </c>
      <c r="C62" s="63"/>
      <c r="D62" s="63"/>
      <c r="E62" s="63"/>
      <c r="F62" s="79">
        <f>F63</f>
        <v>5875.16</v>
      </c>
      <c r="G62" s="79">
        <f>G63</f>
        <v>15900</v>
      </c>
      <c r="H62" s="79">
        <f>H63</f>
        <v>0</v>
      </c>
      <c r="I62" s="79">
        <f t="shared" si="14"/>
        <v>15900</v>
      </c>
      <c r="J62" s="79"/>
      <c r="K62" s="155">
        <f t="shared" si="15"/>
        <v>15900</v>
      </c>
      <c r="L62" s="79"/>
      <c r="M62" s="79"/>
      <c r="N62" s="79"/>
    </row>
    <row r="63" spans="1:20" x14ac:dyDescent="0.25">
      <c r="A63" s="98">
        <v>3132</v>
      </c>
      <c r="B63" t="s">
        <v>188</v>
      </c>
      <c r="F63" s="151">
        <v>5875.16</v>
      </c>
      <c r="G63" s="151">
        <v>15900</v>
      </c>
      <c r="H63" s="151"/>
      <c r="I63" s="73">
        <f t="shared" si="14"/>
        <v>15900</v>
      </c>
      <c r="J63" s="73"/>
      <c r="K63" s="155">
        <f t="shared" si="15"/>
        <v>15900</v>
      </c>
      <c r="L63" s="254"/>
      <c r="M63" s="73"/>
      <c r="N63" s="73">
        <v>12217.92</v>
      </c>
    </row>
    <row r="64" spans="1:20" x14ac:dyDescent="0.25">
      <c r="A64" s="97">
        <v>32</v>
      </c>
      <c r="B64" s="63" t="s">
        <v>170</v>
      </c>
      <c r="C64" s="63"/>
      <c r="D64" s="63"/>
      <c r="E64" s="63"/>
      <c r="F64" s="79">
        <f>F65+F69+F80+F106</f>
        <v>36010.729999999996</v>
      </c>
      <c r="G64" s="79">
        <f>G65+G69+G80+G106</f>
        <v>95616</v>
      </c>
      <c r="H64" s="79">
        <f>H65+H69+H80+H106</f>
        <v>-2088</v>
      </c>
      <c r="I64" s="79">
        <f t="shared" si="14"/>
        <v>93528</v>
      </c>
      <c r="J64" s="79">
        <f>J65+J69+J80+J106</f>
        <v>11070</v>
      </c>
      <c r="K64" s="155">
        <f t="shared" si="15"/>
        <v>104598</v>
      </c>
      <c r="L64" s="79"/>
      <c r="M64" s="79"/>
      <c r="N64" s="79"/>
    </row>
    <row r="65" spans="1:15" x14ac:dyDescent="0.25">
      <c r="A65" s="97">
        <v>321</v>
      </c>
      <c r="B65" s="63" t="s">
        <v>171</v>
      </c>
      <c r="C65" s="63"/>
      <c r="D65" s="63"/>
      <c r="E65" s="63"/>
      <c r="F65" s="79">
        <f>F66+F68+F67</f>
        <v>1753.44</v>
      </c>
      <c r="G65" s="79">
        <f>G66+G68+G67</f>
        <v>6356</v>
      </c>
      <c r="H65" s="79">
        <f>H66+H68+H67</f>
        <v>0</v>
      </c>
      <c r="I65" s="79">
        <f t="shared" si="14"/>
        <v>6356</v>
      </c>
      <c r="J65" s="79"/>
      <c r="K65" s="155">
        <f t="shared" si="15"/>
        <v>6356</v>
      </c>
      <c r="L65" s="79"/>
      <c r="M65" s="79"/>
      <c r="N65" s="79"/>
    </row>
    <row r="66" spans="1:15" x14ac:dyDescent="0.25">
      <c r="A66" s="98">
        <v>3214</v>
      </c>
      <c r="B66" t="s">
        <v>189</v>
      </c>
      <c r="F66" s="151">
        <v>127</v>
      </c>
      <c r="G66" s="151">
        <v>1000</v>
      </c>
      <c r="H66" s="151"/>
      <c r="I66" s="73">
        <f t="shared" si="14"/>
        <v>1000</v>
      </c>
      <c r="J66" s="73"/>
      <c r="K66" s="155">
        <f t="shared" si="15"/>
        <v>1000</v>
      </c>
      <c r="L66" s="73"/>
      <c r="M66" s="73"/>
      <c r="N66" s="73">
        <v>248</v>
      </c>
    </row>
    <row r="67" spans="1:15" x14ac:dyDescent="0.25">
      <c r="A67" s="98">
        <v>3212</v>
      </c>
      <c r="B67" t="s">
        <v>210</v>
      </c>
      <c r="F67" s="151">
        <v>1626.44</v>
      </c>
      <c r="G67" s="151">
        <f>6*22*11*3</f>
        <v>4356</v>
      </c>
      <c r="H67" s="151"/>
      <c r="I67" s="73">
        <f t="shared" si="14"/>
        <v>4356</v>
      </c>
      <c r="J67" s="73"/>
      <c r="K67" s="155">
        <f t="shared" si="15"/>
        <v>4356</v>
      </c>
      <c r="L67" s="73"/>
      <c r="M67" s="73"/>
      <c r="N67" s="73">
        <v>3147.05</v>
      </c>
      <c r="O67" s="7" t="s">
        <v>514</v>
      </c>
    </row>
    <row r="68" spans="1:15" x14ac:dyDescent="0.25">
      <c r="A68" s="98">
        <v>3213</v>
      </c>
      <c r="B68" t="s">
        <v>211</v>
      </c>
      <c r="F68" s="151"/>
      <c r="G68" s="151">
        <v>1000</v>
      </c>
      <c r="H68" s="151"/>
      <c r="I68" s="73">
        <f t="shared" si="14"/>
        <v>1000</v>
      </c>
      <c r="J68" s="250"/>
      <c r="K68" s="155">
        <f t="shared" si="15"/>
        <v>1000</v>
      </c>
      <c r="L68" s="73"/>
      <c r="M68" s="73"/>
      <c r="N68" s="73"/>
    </row>
    <row r="69" spans="1:15" x14ac:dyDescent="0.25">
      <c r="A69" s="97">
        <v>322</v>
      </c>
      <c r="B69" s="63" t="s">
        <v>172</v>
      </c>
      <c r="C69" s="63"/>
      <c r="D69" s="63"/>
      <c r="E69" s="63"/>
      <c r="F69" s="79">
        <f>SUM(F70:F79)</f>
        <v>10663.920000000002</v>
      </c>
      <c r="G69" s="79">
        <f>SUM(G70:G79)</f>
        <v>26300</v>
      </c>
      <c r="H69" s="79">
        <f>SUM(H70:H79)</f>
        <v>-1568</v>
      </c>
      <c r="I69" s="79">
        <f t="shared" si="14"/>
        <v>24732</v>
      </c>
      <c r="J69" s="79">
        <f>J70+J71+J72+J73+J74+J75+J76+J77+J78+J79</f>
        <v>2170</v>
      </c>
      <c r="K69" s="155">
        <f t="shared" si="15"/>
        <v>26902</v>
      </c>
      <c r="L69" s="79"/>
      <c r="M69" s="79"/>
      <c r="N69" s="79"/>
    </row>
    <row r="70" spans="1:15" x14ac:dyDescent="0.25">
      <c r="A70" s="98">
        <v>3221</v>
      </c>
      <c r="B70" t="s">
        <v>212</v>
      </c>
      <c r="F70" s="7">
        <v>594.61</v>
      </c>
      <c r="G70" s="7">
        <v>1500</v>
      </c>
      <c r="I70" s="73">
        <f t="shared" si="14"/>
        <v>1500</v>
      </c>
      <c r="J70" s="73"/>
      <c r="K70" s="155">
        <f t="shared" si="15"/>
        <v>1500</v>
      </c>
      <c r="L70" s="73">
        <v>100</v>
      </c>
      <c r="M70" s="73"/>
      <c r="N70" s="73">
        <f>909.48+140</f>
        <v>1049.48</v>
      </c>
    </row>
    <row r="71" spans="1:15" x14ac:dyDescent="0.25">
      <c r="A71" s="98">
        <v>3221</v>
      </c>
      <c r="B71" s="62" t="s">
        <v>213</v>
      </c>
      <c r="F71" s="7">
        <v>234.65</v>
      </c>
      <c r="G71" s="7">
        <v>1900</v>
      </c>
      <c r="H71" s="7">
        <v>-500</v>
      </c>
      <c r="I71" s="73">
        <f t="shared" si="14"/>
        <v>1400</v>
      </c>
      <c r="J71" s="250">
        <v>-500</v>
      </c>
      <c r="K71" s="155">
        <f t="shared" si="15"/>
        <v>900</v>
      </c>
      <c r="L71" s="73"/>
      <c r="M71" s="73"/>
      <c r="N71" s="73">
        <v>438.01</v>
      </c>
    </row>
    <row r="72" spans="1:15" x14ac:dyDescent="0.25">
      <c r="A72" s="98">
        <v>3221</v>
      </c>
      <c r="B72" s="700" t="s">
        <v>363</v>
      </c>
      <c r="C72" s="649"/>
      <c r="D72" s="649"/>
      <c r="E72" s="649"/>
      <c r="F72" s="7">
        <v>151.97</v>
      </c>
      <c r="G72" s="7">
        <v>600</v>
      </c>
      <c r="I72" s="73">
        <f t="shared" si="14"/>
        <v>600</v>
      </c>
      <c r="J72" s="73"/>
      <c r="K72" s="155">
        <f t="shared" si="15"/>
        <v>600</v>
      </c>
      <c r="L72" s="73"/>
      <c r="M72" s="73"/>
      <c r="N72" s="73">
        <v>371.47</v>
      </c>
    </row>
    <row r="73" spans="1:15" x14ac:dyDescent="0.25">
      <c r="A73" s="98">
        <v>322</v>
      </c>
      <c r="B73" s="58" t="s">
        <v>565</v>
      </c>
      <c r="C73" s="57"/>
      <c r="D73" s="57"/>
      <c r="E73" s="57"/>
      <c r="F73" s="7">
        <v>239.79</v>
      </c>
      <c r="G73" s="7">
        <v>2000</v>
      </c>
      <c r="H73" s="7">
        <v>-1000</v>
      </c>
      <c r="I73" s="73">
        <f t="shared" si="14"/>
        <v>1000</v>
      </c>
      <c r="J73" s="73"/>
      <c r="K73" s="155">
        <f t="shared" si="15"/>
        <v>1000</v>
      </c>
      <c r="L73" s="73"/>
      <c r="M73" s="73"/>
      <c r="N73" s="73">
        <v>766.77</v>
      </c>
    </row>
    <row r="74" spans="1:15" x14ac:dyDescent="0.25">
      <c r="A74" s="98">
        <v>3221</v>
      </c>
      <c r="B74" t="s">
        <v>214</v>
      </c>
      <c r="F74" s="7">
        <f>77.23+13.27</f>
        <v>90.5</v>
      </c>
      <c r="G74" s="7">
        <v>500</v>
      </c>
      <c r="I74" s="73">
        <f t="shared" si="14"/>
        <v>500</v>
      </c>
      <c r="J74" s="73"/>
      <c r="K74" s="155">
        <f t="shared" si="15"/>
        <v>500</v>
      </c>
      <c r="L74" s="73"/>
      <c r="M74" s="73"/>
      <c r="N74" s="73">
        <f>160.04+109.38</f>
        <v>269.41999999999996</v>
      </c>
    </row>
    <row r="75" spans="1:15" x14ac:dyDescent="0.25">
      <c r="A75" s="98">
        <v>3223</v>
      </c>
      <c r="B75" t="s">
        <v>215</v>
      </c>
      <c r="F75" s="7">
        <v>3686.9</v>
      </c>
      <c r="G75" s="7">
        <f>10000-2000</f>
        <v>8000</v>
      </c>
      <c r="I75" s="73">
        <f t="shared" si="14"/>
        <v>8000</v>
      </c>
      <c r="J75" s="250">
        <v>2000</v>
      </c>
      <c r="K75" s="155">
        <f t="shared" si="15"/>
        <v>10000</v>
      </c>
      <c r="L75" s="73">
        <v>1000</v>
      </c>
      <c r="M75" s="73"/>
      <c r="N75" s="73">
        <v>8659.61</v>
      </c>
    </row>
    <row r="76" spans="1:15" x14ac:dyDescent="0.25">
      <c r="A76" s="98">
        <v>3223</v>
      </c>
      <c r="B76" s="62" t="s">
        <v>216</v>
      </c>
      <c r="F76" s="7">
        <v>3604.85</v>
      </c>
      <c r="G76" s="7">
        <f>10000-2000</f>
        <v>8000</v>
      </c>
      <c r="I76" s="73">
        <f t="shared" si="14"/>
        <v>8000</v>
      </c>
      <c r="J76" s="73"/>
      <c r="K76" s="155">
        <f t="shared" si="15"/>
        <v>8000</v>
      </c>
      <c r="L76" s="73"/>
      <c r="M76" s="73"/>
      <c r="N76" s="73">
        <v>3984.11</v>
      </c>
    </row>
    <row r="77" spans="1:15" x14ac:dyDescent="0.25">
      <c r="A77" s="98">
        <v>3224</v>
      </c>
      <c r="B77" s="62" t="s">
        <v>563</v>
      </c>
      <c r="F77" s="7">
        <v>407.82</v>
      </c>
      <c r="G77" s="7">
        <v>1000</v>
      </c>
      <c r="I77" s="73">
        <f t="shared" si="14"/>
        <v>1000</v>
      </c>
      <c r="J77" s="73"/>
      <c r="K77" s="155">
        <f t="shared" si="15"/>
        <v>1000</v>
      </c>
      <c r="L77" s="73">
        <v>200</v>
      </c>
      <c r="M77" s="73"/>
      <c r="N77" s="73">
        <v>867.47</v>
      </c>
    </row>
    <row r="78" spans="1:15" x14ac:dyDescent="0.25">
      <c r="A78" s="98">
        <v>3225</v>
      </c>
      <c r="B78" t="s">
        <v>217</v>
      </c>
      <c r="F78" s="7">
        <v>1492.54</v>
      </c>
      <c r="G78" s="7">
        <v>2000</v>
      </c>
      <c r="H78" s="7">
        <v>300</v>
      </c>
      <c r="I78" s="73">
        <f t="shared" si="14"/>
        <v>2300</v>
      </c>
      <c r="J78" s="250">
        <v>500</v>
      </c>
      <c r="K78" s="155">
        <f t="shared" si="15"/>
        <v>2800</v>
      </c>
      <c r="L78" s="73"/>
      <c r="M78" s="73"/>
      <c r="N78" s="73">
        <v>2302.27</v>
      </c>
    </row>
    <row r="79" spans="1:15" x14ac:dyDescent="0.25">
      <c r="A79" s="98">
        <v>3227</v>
      </c>
      <c r="B79" t="s">
        <v>218</v>
      </c>
      <c r="F79" s="7">
        <v>160.29</v>
      </c>
      <c r="G79" s="7">
        <v>800</v>
      </c>
      <c r="H79" s="7">
        <v>-368</v>
      </c>
      <c r="I79" s="73">
        <f t="shared" si="14"/>
        <v>432</v>
      </c>
      <c r="J79" s="73">
        <v>170</v>
      </c>
      <c r="K79" s="155">
        <f t="shared" si="15"/>
        <v>602</v>
      </c>
      <c r="L79" s="73">
        <v>6</v>
      </c>
      <c r="M79" s="73"/>
      <c r="N79" s="73">
        <v>290.52</v>
      </c>
    </row>
    <row r="80" spans="1:15" x14ac:dyDescent="0.25">
      <c r="A80" s="97">
        <v>323</v>
      </c>
      <c r="B80" s="63" t="s">
        <v>173</v>
      </c>
      <c r="C80" s="63"/>
      <c r="D80" s="63"/>
      <c r="E80" s="63"/>
      <c r="F80" s="79">
        <f>SUM(F81:F105)</f>
        <v>19937.739999999998</v>
      </c>
      <c r="G80" s="79">
        <f>SUM(G81:G105)</f>
        <v>54428</v>
      </c>
      <c r="H80" s="79">
        <f>SUM(H81:H105)</f>
        <v>-1820</v>
      </c>
      <c r="I80" s="79">
        <f t="shared" si="14"/>
        <v>52608</v>
      </c>
      <c r="J80" s="79">
        <f>J81+J82+J83+J84+J85+J86+J87+J88+J89+J90+J91+J92+J93+J94+J95+J96+J97+J98+J99+J100+J101+J102+J103+J104+J105</f>
        <v>7800</v>
      </c>
      <c r="K80" s="155">
        <f t="shared" si="15"/>
        <v>60408</v>
      </c>
      <c r="L80" s="79"/>
      <c r="M80" s="79"/>
      <c r="N80" s="79"/>
    </row>
    <row r="81" spans="1:17" x14ac:dyDescent="0.25">
      <c r="A81" s="98">
        <v>3231</v>
      </c>
      <c r="B81" s="62" t="s">
        <v>219</v>
      </c>
      <c r="F81" s="7">
        <v>613.01</v>
      </c>
      <c r="G81" s="7">
        <f>130*12</f>
        <v>1560</v>
      </c>
      <c r="I81" s="73">
        <f t="shared" si="14"/>
        <v>1560</v>
      </c>
      <c r="J81" s="73">
        <v>200</v>
      </c>
      <c r="K81" s="155">
        <f t="shared" si="15"/>
        <v>1760</v>
      </c>
      <c r="L81" s="73">
        <v>100</v>
      </c>
      <c r="M81" s="73"/>
      <c r="N81" s="73">
        <v>1428.21</v>
      </c>
      <c r="O81" s="7" t="s">
        <v>513</v>
      </c>
    </row>
    <row r="82" spans="1:17" x14ac:dyDescent="0.25">
      <c r="A82" s="98">
        <v>3231</v>
      </c>
      <c r="B82" t="s">
        <v>220</v>
      </c>
      <c r="F82" s="7">
        <v>648.16999999999996</v>
      </c>
      <c r="G82" s="7">
        <v>1300</v>
      </c>
      <c r="I82" s="73">
        <f t="shared" si="14"/>
        <v>1300</v>
      </c>
      <c r="J82" s="73"/>
      <c r="K82" s="155">
        <f t="shared" si="15"/>
        <v>1300</v>
      </c>
      <c r="L82" s="73"/>
      <c r="M82" s="73"/>
      <c r="N82" s="73">
        <v>927.16</v>
      </c>
    </row>
    <row r="83" spans="1:17" x14ac:dyDescent="0.25">
      <c r="A83" s="98">
        <v>3231</v>
      </c>
      <c r="B83" t="s">
        <v>221</v>
      </c>
      <c r="F83" s="151"/>
      <c r="G83" s="151">
        <v>600</v>
      </c>
      <c r="H83" s="151"/>
      <c r="I83" s="73">
        <f t="shared" si="14"/>
        <v>600</v>
      </c>
      <c r="J83" s="73"/>
      <c r="K83" s="155">
        <f t="shared" si="15"/>
        <v>600</v>
      </c>
      <c r="L83" s="73"/>
      <c r="M83" s="73"/>
      <c r="N83" s="73">
        <v>600</v>
      </c>
    </row>
    <row r="84" spans="1:17" x14ac:dyDescent="0.25">
      <c r="A84" s="100">
        <v>3234</v>
      </c>
      <c r="B84" s="62" t="s">
        <v>346</v>
      </c>
      <c r="C84" s="62"/>
      <c r="D84" s="62"/>
      <c r="E84" s="62"/>
      <c r="F84" s="151">
        <v>116.4</v>
      </c>
      <c r="G84" s="151">
        <f>24*12</f>
        <v>288</v>
      </c>
      <c r="H84" s="151"/>
      <c r="I84" s="73">
        <f t="shared" si="14"/>
        <v>288</v>
      </c>
      <c r="J84" s="73"/>
      <c r="K84" s="155">
        <f t="shared" si="15"/>
        <v>288</v>
      </c>
      <c r="L84" s="73"/>
      <c r="M84" s="73"/>
      <c r="N84" s="73">
        <v>232.8</v>
      </c>
      <c r="O84" s="7" t="s">
        <v>512</v>
      </c>
    </row>
    <row r="85" spans="1:17" x14ac:dyDescent="0.25">
      <c r="A85" s="100">
        <v>3232</v>
      </c>
      <c r="B85" s="62" t="s">
        <v>562</v>
      </c>
      <c r="C85" s="62"/>
      <c r="D85" s="62"/>
      <c r="E85" s="62"/>
      <c r="F85" s="151"/>
      <c r="G85" s="151">
        <v>1000</v>
      </c>
      <c r="H85" s="151"/>
      <c r="I85" s="73">
        <f t="shared" si="14"/>
        <v>1000</v>
      </c>
      <c r="J85" s="73"/>
      <c r="K85" s="155">
        <f t="shared" si="15"/>
        <v>1000</v>
      </c>
      <c r="L85" s="73"/>
      <c r="M85" s="73"/>
      <c r="N85" s="73">
        <v>568.87</v>
      </c>
    </row>
    <row r="86" spans="1:17" x14ac:dyDescent="0.25">
      <c r="A86" s="100">
        <v>3232</v>
      </c>
      <c r="B86" s="62" t="s">
        <v>478</v>
      </c>
      <c r="C86" s="62"/>
      <c r="D86" s="62"/>
      <c r="E86" s="62"/>
      <c r="F86" s="151">
        <v>1373</v>
      </c>
      <c r="G86" s="151">
        <f>6000-1000</f>
        <v>5000</v>
      </c>
      <c r="H86" s="151"/>
      <c r="I86" s="73">
        <f t="shared" si="14"/>
        <v>5000</v>
      </c>
      <c r="J86" s="73"/>
      <c r="K86" s="155">
        <f t="shared" si="15"/>
        <v>5000</v>
      </c>
      <c r="L86" s="73"/>
      <c r="M86" s="73"/>
      <c r="N86" s="73">
        <v>3829.25</v>
      </c>
    </row>
    <row r="87" spans="1:17" x14ac:dyDescent="0.25">
      <c r="A87" s="100">
        <v>3232</v>
      </c>
      <c r="B87" s="62" t="s">
        <v>564</v>
      </c>
      <c r="C87" s="62"/>
      <c r="D87" s="62"/>
      <c r="E87" s="62"/>
      <c r="F87" s="151">
        <v>1098</v>
      </c>
      <c r="G87" s="151">
        <v>2000</v>
      </c>
      <c r="H87" s="151"/>
      <c r="I87" s="73">
        <f t="shared" si="14"/>
        <v>2000</v>
      </c>
      <c r="J87" s="73"/>
      <c r="K87" s="155">
        <f t="shared" si="15"/>
        <v>2000</v>
      </c>
      <c r="L87" s="73"/>
      <c r="M87" s="73"/>
      <c r="N87" s="73">
        <v>1149.81</v>
      </c>
    </row>
    <row r="88" spans="1:17" x14ac:dyDescent="0.25">
      <c r="A88" s="98">
        <v>3233</v>
      </c>
      <c r="B88" s="62" t="s">
        <v>222</v>
      </c>
      <c r="F88" s="151">
        <v>2212.5</v>
      </c>
      <c r="G88" s="151">
        <v>8000</v>
      </c>
      <c r="H88" s="151">
        <v>-4000</v>
      </c>
      <c r="I88" s="73">
        <f t="shared" si="14"/>
        <v>4000</v>
      </c>
      <c r="J88" s="73">
        <v>4000</v>
      </c>
      <c r="K88" s="155">
        <f t="shared" si="15"/>
        <v>8000</v>
      </c>
      <c r="L88" s="73">
        <v>1500</v>
      </c>
      <c r="M88" s="73"/>
      <c r="N88" s="73">
        <v>6351.35</v>
      </c>
      <c r="O88" s="7" t="s">
        <v>545</v>
      </c>
    </row>
    <row r="89" spans="1:17" x14ac:dyDescent="0.25">
      <c r="A89" s="98">
        <v>3234</v>
      </c>
      <c r="B89" t="s">
        <v>223</v>
      </c>
      <c r="F89" s="151">
        <v>59.35</v>
      </c>
      <c r="G89" s="151">
        <v>600</v>
      </c>
      <c r="H89" s="151"/>
      <c r="I89" s="73">
        <f t="shared" si="14"/>
        <v>600</v>
      </c>
      <c r="J89" s="73"/>
      <c r="K89" s="155">
        <f t="shared" si="15"/>
        <v>600</v>
      </c>
      <c r="L89" s="73"/>
      <c r="M89" s="73"/>
      <c r="N89" s="73">
        <v>271.67</v>
      </c>
      <c r="O89" s="7" t="s">
        <v>353</v>
      </c>
    </row>
    <row r="90" spans="1:17" x14ac:dyDescent="0.25">
      <c r="A90" s="98">
        <v>3235</v>
      </c>
      <c r="B90" t="s">
        <v>224</v>
      </c>
      <c r="F90" s="151">
        <v>361.73</v>
      </c>
      <c r="G90" s="151">
        <v>5600</v>
      </c>
      <c r="H90" s="151"/>
      <c r="I90" s="73">
        <f t="shared" si="14"/>
        <v>5600</v>
      </c>
      <c r="J90" s="73"/>
      <c r="K90" s="155">
        <f t="shared" si="15"/>
        <v>5600</v>
      </c>
      <c r="L90" s="73">
        <v>-400</v>
      </c>
      <c r="M90" s="73"/>
      <c r="N90" s="73">
        <f>360+2887.1</f>
        <v>3247.1</v>
      </c>
      <c r="O90" s="7" t="s">
        <v>546</v>
      </c>
      <c r="P90" s="7" t="s">
        <v>547</v>
      </c>
      <c r="Q90" s="7" t="s">
        <v>548</v>
      </c>
    </row>
    <row r="91" spans="1:17" x14ac:dyDescent="0.25">
      <c r="A91" s="98">
        <v>3237</v>
      </c>
      <c r="B91" t="s">
        <v>225</v>
      </c>
      <c r="F91" s="151">
        <v>2075.37</v>
      </c>
      <c r="G91" s="151">
        <v>2000</v>
      </c>
      <c r="H91" s="151">
        <f>1000+200</f>
        <v>1200</v>
      </c>
      <c r="I91" s="73">
        <f t="shared" si="14"/>
        <v>3200</v>
      </c>
      <c r="J91" s="73"/>
      <c r="K91" s="155">
        <f t="shared" si="15"/>
        <v>3200</v>
      </c>
      <c r="L91" s="73">
        <v>-1000</v>
      </c>
      <c r="M91" s="73"/>
      <c r="N91" s="73">
        <v>2075.37</v>
      </c>
    </row>
    <row r="92" spans="1:17" x14ac:dyDescent="0.25">
      <c r="A92" s="98">
        <v>3237</v>
      </c>
      <c r="B92" s="62" t="s">
        <v>739</v>
      </c>
      <c r="F92" s="151"/>
      <c r="G92" s="151">
        <v>1600</v>
      </c>
      <c r="H92" s="151">
        <v>-1600</v>
      </c>
      <c r="I92" s="73">
        <f t="shared" si="14"/>
        <v>0</v>
      </c>
      <c r="J92" s="73"/>
      <c r="K92" s="155">
        <f t="shared" si="15"/>
        <v>0</v>
      </c>
      <c r="L92" s="73"/>
      <c r="M92" s="73"/>
      <c r="N92" s="73"/>
    </row>
    <row r="93" spans="1:17" x14ac:dyDescent="0.25">
      <c r="A93" s="98">
        <v>3237</v>
      </c>
      <c r="B93" t="s">
        <v>824</v>
      </c>
      <c r="F93" s="151"/>
      <c r="G93" s="151">
        <f>2000-1000</f>
        <v>1000</v>
      </c>
      <c r="H93" s="151">
        <v>-1000</v>
      </c>
      <c r="I93" s="73">
        <f t="shared" si="14"/>
        <v>0</v>
      </c>
      <c r="J93" s="73">
        <v>3000</v>
      </c>
      <c r="K93" s="155">
        <f t="shared" si="15"/>
        <v>3000</v>
      </c>
      <c r="L93" s="73"/>
      <c r="M93" s="73"/>
      <c r="N93" s="73"/>
      <c r="O93" s="7" t="s">
        <v>554</v>
      </c>
    </row>
    <row r="94" spans="1:17" x14ac:dyDescent="0.25">
      <c r="A94" s="98">
        <v>3237</v>
      </c>
      <c r="B94" s="713" t="s">
        <v>226</v>
      </c>
      <c r="C94" s="754"/>
      <c r="D94" s="754"/>
      <c r="E94" s="754"/>
      <c r="F94" s="151">
        <v>1244.25</v>
      </c>
      <c r="G94" s="151">
        <f>250*12</f>
        <v>3000</v>
      </c>
      <c r="H94" s="151">
        <v>200</v>
      </c>
      <c r="I94" s="73">
        <f t="shared" si="14"/>
        <v>3200</v>
      </c>
      <c r="J94" s="73"/>
      <c r="K94" s="155">
        <f t="shared" si="15"/>
        <v>3200</v>
      </c>
      <c r="L94" s="73"/>
      <c r="M94" s="73"/>
      <c r="N94" s="73">
        <v>2488.5</v>
      </c>
      <c r="O94" s="7" t="s">
        <v>511</v>
      </c>
    </row>
    <row r="95" spans="1:17" x14ac:dyDescent="0.25">
      <c r="A95" s="98">
        <v>3237</v>
      </c>
      <c r="B95" t="s">
        <v>227</v>
      </c>
      <c r="F95" s="151"/>
      <c r="G95" s="151">
        <f>5000-2000</f>
        <v>3000</v>
      </c>
      <c r="H95" s="151">
        <v>-1000</v>
      </c>
      <c r="I95" s="73">
        <f t="shared" si="14"/>
        <v>2000</v>
      </c>
      <c r="J95" s="73"/>
      <c r="K95" s="155">
        <f t="shared" si="15"/>
        <v>2000</v>
      </c>
      <c r="L95" s="73">
        <v>-500</v>
      </c>
      <c r="M95" s="73"/>
      <c r="N95" s="73">
        <v>593.75</v>
      </c>
    </row>
    <row r="96" spans="1:17" x14ac:dyDescent="0.25">
      <c r="A96" s="98">
        <v>3237</v>
      </c>
      <c r="B96" t="s">
        <v>228</v>
      </c>
      <c r="F96" s="151">
        <v>1812.5</v>
      </c>
      <c r="G96" s="151">
        <v>2000</v>
      </c>
      <c r="H96" s="151">
        <v>1000</v>
      </c>
      <c r="I96" s="73">
        <f t="shared" si="14"/>
        <v>3000</v>
      </c>
      <c r="J96" s="73"/>
      <c r="K96" s="155">
        <f t="shared" si="15"/>
        <v>3000</v>
      </c>
      <c r="L96" s="73"/>
      <c r="M96" s="73"/>
      <c r="N96" s="73">
        <v>1812.5</v>
      </c>
    </row>
    <row r="97" spans="1:23" x14ac:dyDescent="0.25">
      <c r="A97" s="98">
        <v>3238</v>
      </c>
      <c r="B97" t="s">
        <v>229</v>
      </c>
      <c r="F97" s="151">
        <v>5718.28</v>
      </c>
      <c r="G97" s="151">
        <v>6000</v>
      </c>
      <c r="H97" s="151">
        <f>1600+2180+2050</f>
        <v>5830</v>
      </c>
      <c r="I97" s="73">
        <f t="shared" si="14"/>
        <v>11830</v>
      </c>
      <c r="J97" s="250">
        <v>500</v>
      </c>
      <c r="K97" s="155">
        <f t="shared" si="15"/>
        <v>12330</v>
      </c>
      <c r="L97" s="73"/>
      <c r="M97" s="73"/>
      <c r="N97" s="73">
        <f>9479.31</f>
        <v>9479.31</v>
      </c>
      <c r="O97" s="7" t="s">
        <v>711</v>
      </c>
      <c r="Q97" s="7" t="s">
        <v>560</v>
      </c>
      <c r="S97" s="7" t="s">
        <v>561</v>
      </c>
      <c r="U97" s="7" t="s">
        <v>710</v>
      </c>
      <c r="W97" t="s">
        <v>712</v>
      </c>
    </row>
    <row r="98" spans="1:23" x14ac:dyDescent="0.25">
      <c r="A98" s="98">
        <v>3239</v>
      </c>
      <c r="B98" t="s">
        <v>230</v>
      </c>
      <c r="F98" s="151">
        <v>175.76</v>
      </c>
      <c r="G98" s="151">
        <v>800</v>
      </c>
      <c r="H98" s="151"/>
      <c r="I98" s="73">
        <f t="shared" si="14"/>
        <v>800</v>
      </c>
      <c r="J98" s="73"/>
      <c r="K98" s="155">
        <f t="shared" si="15"/>
        <v>800</v>
      </c>
      <c r="L98" s="73"/>
      <c r="M98" s="73"/>
      <c r="N98" s="73">
        <v>233.63</v>
      </c>
    </row>
    <row r="99" spans="1:23" x14ac:dyDescent="0.25">
      <c r="A99" s="100">
        <v>3239</v>
      </c>
      <c r="B99" s="62" t="s">
        <v>231</v>
      </c>
      <c r="C99" s="62"/>
      <c r="D99" s="62"/>
      <c r="E99" s="62"/>
      <c r="F99" s="151">
        <v>348.75</v>
      </c>
      <c r="G99" s="151">
        <f>470*2</f>
        <v>940</v>
      </c>
      <c r="H99" s="151"/>
      <c r="I99" s="73">
        <f t="shared" si="14"/>
        <v>940</v>
      </c>
      <c r="J99" s="73"/>
      <c r="K99" s="155">
        <f t="shared" si="15"/>
        <v>940</v>
      </c>
      <c r="L99" s="73">
        <v>-240</v>
      </c>
      <c r="M99" s="73"/>
      <c r="N99" s="73">
        <v>697.5</v>
      </c>
      <c r="O99" s="7" t="s">
        <v>510</v>
      </c>
    </row>
    <row r="100" spans="1:23" x14ac:dyDescent="0.25">
      <c r="A100" s="98">
        <v>3238</v>
      </c>
      <c r="B100" s="62" t="s">
        <v>232</v>
      </c>
      <c r="F100" s="151">
        <v>117.31</v>
      </c>
      <c r="G100" s="151">
        <f>20*12</f>
        <v>240</v>
      </c>
      <c r="H100" s="151">
        <v>50</v>
      </c>
      <c r="I100" s="73">
        <f t="shared" si="14"/>
        <v>290</v>
      </c>
      <c r="J100" s="250">
        <v>100</v>
      </c>
      <c r="K100" s="155">
        <f t="shared" si="15"/>
        <v>390</v>
      </c>
      <c r="L100" s="73"/>
      <c r="M100" s="73"/>
      <c r="N100" s="73">
        <v>242.51</v>
      </c>
      <c r="O100" s="7" t="s">
        <v>504</v>
      </c>
    </row>
    <row r="101" spans="1:23" x14ac:dyDescent="0.25">
      <c r="A101" s="98">
        <v>3239</v>
      </c>
      <c r="B101" s="62" t="s">
        <v>233</v>
      </c>
      <c r="F101" s="151"/>
      <c r="G101" s="151">
        <v>300</v>
      </c>
      <c r="H101" s="151"/>
      <c r="I101" s="73">
        <f t="shared" si="14"/>
        <v>300</v>
      </c>
      <c r="J101" s="73"/>
      <c r="K101" s="155">
        <f t="shared" si="15"/>
        <v>300</v>
      </c>
      <c r="L101" s="73"/>
      <c r="M101" s="73"/>
      <c r="N101" s="73"/>
    </row>
    <row r="102" spans="1:23" x14ac:dyDescent="0.25">
      <c r="A102" s="98">
        <v>3239</v>
      </c>
      <c r="B102" s="700" t="s">
        <v>234</v>
      </c>
      <c r="C102" s="700"/>
      <c r="D102" s="700"/>
      <c r="E102" s="700"/>
      <c r="F102" s="151"/>
      <c r="G102" s="151">
        <v>2000</v>
      </c>
      <c r="H102" s="151">
        <v>-2000</v>
      </c>
      <c r="I102" s="73">
        <f t="shared" si="14"/>
        <v>0</v>
      </c>
      <c r="J102" s="73"/>
      <c r="K102" s="155">
        <f t="shared" si="15"/>
        <v>0</v>
      </c>
      <c r="L102" s="73"/>
      <c r="M102" s="73"/>
      <c r="N102" s="73"/>
    </row>
    <row r="103" spans="1:23" x14ac:dyDescent="0.25">
      <c r="A103" s="98">
        <v>3239</v>
      </c>
      <c r="B103" s="62" t="s">
        <v>235</v>
      </c>
      <c r="F103" s="151">
        <v>1333.48</v>
      </c>
      <c r="G103" s="151">
        <v>2800</v>
      </c>
      <c r="H103" s="151"/>
      <c r="I103" s="73">
        <f t="shared" si="14"/>
        <v>2800</v>
      </c>
      <c r="J103" s="73"/>
      <c r="K103" s="155">
        <f t="shared" si="15"/>
        <v>2800</v>
      </c>
      <c r="L103" s="73">
        <v>500</v>
      </c>
      <c r="M103" s="73"/>
      <c r="N103" s="73">
        <v>2484.5100000000002</v>
      </c>
    </row>
    <row r="104" spans="1:23" x14ac:dyDescent="0.25">
      <c r="A104" s="98">
        <v>3234</v>
      </c>
      <c r="B104" s="700" t="s">
        <v>236</v>
      </c>
      <c r="C104" s="700"/>
      <c r="D104" s="700"/>
      <c r="E104" s="700"/>
      <c r="F104" s="151">
        <v>629.88</v>
      </c>
      <c r="G104" s="151">
        <f>150*12</f>
        <v>1800</v>
      </c>
      <c r="H104" s="151"/>
      <c r="I104" s="73">
        <f t="shared" si="14"/>
        <v>1800</v>
      </c>
      <c r="J104" s="73"/>
      <c r="K104" s="155">
        <f t="shared" si="15"/>
        <v>1800</v>
      </c>
      <c r="L104" s="73"/>
      <c r="M104" s="73"/>
      <c r="N104" s="73">
        <v>1571.18</v>
      </c>
      <c r="O104" s="7" t="s">
        <v>507</v>
      </c>
    </row>
    <row r="105" spans="1:23" x14ac:dyDescent="0.25">
      <c r="A105" s="98">
        <v>3239</v>
      </c>
      <c r="B105" s="700" t="s">
        <v>237</v>
      </c>
      <c r="C105" s="700"/>
      <c r="D105" s="700"/>
      <c r="E105" s="700"/>
      <c r="F105" s="151"/>
      <c r="G105" s="151">
        <f>3000-1000-1000</f>
        <v>1000</v>
      </c>
      <c r="H105" s="151">
        <v>-500</v>
      </c>
      <c r="I105" s="73">
        <f t="shared" si="14"/>
        <v>500</v>
      </c>
      <c r="J105" s="73"/>
      <c r="K105" s="155">
        <f t="shared" si="15"/>
        <v>500</v>
      </c>
      <c r="L105" s="73"/>
      <c r="M105" s="73"/>
      <c r="N105" s="73"/>
    </row>
    <row r="106" spans="1:23" x14ac:dyDescent="0.25">
      <c r="A106" s="97">
        <v>329</v>
      </c>
      <c r="B106" s="63" t="s">
        <v>190</v>
      </c>
      <c r="C106" s="63"/>
      <c r="D106" s="63"/>
      <c r="E106" s="63"/>
      <c r="F106" s="79">
        <f>F108+F107+F109+F110</f>
        <v>3655.6299999999997</v>
      </c>
      <c r="G106" s="79">
        <f>G108+G107+G109+G110</f>
        <v>8532</v>
      </c>
      <c r="H106" s="79">
        <f>H108+H107+H109+H110</f>
        <v>1300</v>
      </c>
      <c r="I106" s="79">
        <f t="shared" si="14"/>
        <v>9832</v>
      </c>
      <c r="J106" s="79">
        <f>J107+J108+J109+J110+J111+J112</f>
        <v>1100</v>
      </c>
      <c r="K106" s="155">
        <f t="shared" si="15"/>
        <v>10932</v>
      </c>
      <c r="L106" s="79"/>
      <c r="M106" s="79"/>
      <c r="N106" s="79"/>
    </row>
    <row r="107" spans="1:23" x14ac:dyDescent="0.25">
      <c r="A107" s="100">
        <v>3292</v>
      </c>
      <c r="B107" s="62" t="s">
        <v>506</v>
      </c>
      <c r="C107" s="62"/>
      <c r="D107" s="62"/>
      <c r="E107" s="62"/>
      <c r="F107" s="73">
        <f>269.3+1211.57</f>
        <v>1480.87</v>
      </c>
      <c r="G107" s="73">
        <f>700+2000</f>
        <v>2700</v>
      </c>
      <c r="H107" s="73">
        <v>1300</v>
      </c>
      <c r="I107" s="73">
        <f t="shared" si="14"/>
        <v>4000</v>
      </c>
      <c r="J107" s="250">
        <v>-2000</v>
      </c>
      <c r="K107" s="155">
        <f t="shared" si="15"/>
        <v>2000</v>
      </c>
      <c r="L107" s="73"/>
      <c r="M107" s="73"/>
      <c r="N107" s="73">
        <f>508.36+1211.57</f>
        <v>1719.9299999999998</v>
      </c>
      <c r="O107" s="7" t="s">
        <v>538</v>
      </c>
      <c r="P107" s="7" t="s">
        <v>539</v>
      </c>
    </row>
    <row r="108" spans="1:23" x14ac:dyDescent="0.25">
      <c r="A108" s="98">
        <v>3293</v>
      </c>
      <c r="B108" t="s">
        <v>238</v>
      </c>
      <c r="F108" s="73">
        <v>52.37</v>
      </c>
      <c r="G108" s="73">
        <v>700</v>
      </c>
      <c r="H108" s="73"/>
      <c r="I108" s="73">
        <f t="shared" si="14"/>
        <v>700</v>
      </c>
      <c r="J108" s="73"/>
      <c r="K108" s="155">
        <f t="shared" si="15"/>
        <v>700</v>
      </c>
      <c r="L108" s="73">
        <f>1000+200</f>
        <v>1200</v>
      </c>
      <c r="M108" s="73"/>
      <c r="N108" s="73">
        <f>108.84</f>
        <v>108.84</v>
      </c>
      <c r="O108" s="150" t="s">
        <v>866</v>
      </c>
    </row>
    <row r="109" spans="1:23" x14ac:dyDescent="0.25">
      <c r="A109" s="98">
        <v>3294</v>
      </c>
      <c r="B109" s="62" t="s">
        <v>239</v>
      </c>
      <c r="F109" s="73">
        <v>2069.29</v>
      </c>
      <c r="G109" s="73">
        <v>5000</v>
      </c>
      <c r="H109" s="73"/>
      <c r="I109" s="73">
        <f t="shared" si="14"/>
        <v>5000</v>
      </c>
      <c r="J109" s="73">
        <v>2500</v>
      </c>
      <c r="K109" s="155">
        <f t="shared" si="15"/>
        <v>7500</v>
      </c>
      <c r="L109" s="73"/>
      <c r="M109" s="73"/>
      <c r="N109" s="73">
        <v>5505.07</v>
      </c>
      <c r="O109" s="7" t="s">
        <v>537</v>
      </c>
      <c r="P109" s="7" t="s">
        <v>536</v>
      </c>
    </row>
    <row r="110" spans="1:23" x14ac:dyDescent="0.25">
      <c r="A110" s="98">
        <v>3295</v>
      </c>
      <c r="B110" s="62" t="s">
        <v>508</v>
      </c>
      <c r="F110" s="73">
        <v>53.1</v>
      </c>
      <c r="G110" s="73">
        <f>11*12</f>
        <v>132</v>
      </c>
      <c r="H110" s="73"/>
      <c r="I110" s="73">
        <f t="shared" si="14"/>
        <v>132</v>
      </c>
      <c r="J110" s="73"/>
      <c r="K110" s="155">
        <f t="shared" si="15"/>
        <v>132</v>
      </c>
      <c r="L110" s="73"/>
      <c r="M110" s="73"/>
      <c r="N110" s="73">
        <v>116.82</v>
      </c>
      <c r="O110" s="7" t="s">
        <v>509</v>
      </c>
    </row>
    <row r="111" spans="1:23" x14ac:dyDescent="0.25">
      <c r="A111" s="98">
        <v>3299</v>
      </c>
      <c r="B111" s="62" t="s">
        <v>806</v>
      </c>
      <c r="F111" s="73"/>
      <c r="G111" s="73"/>
      <c r="H111" s="73"/>
      <c r="I111" s="73"/>
      <c r="J111" s="250">
        <v>100</v>
      </c>
      <c r="K111" s="155">
        <f t="shared" si="15"/>
        <v>100</v>
      </c>
      <c r="L111" s="73"/>
      <c r="M111" s="73"/>
      <c r="N111" s="73">
        <v>60</v>
      </c>
    </row>
    <row r="112" spans="1:23" x14ac:dyDescent="0.25">
      <c r="A112" s="98">
        <v>3831</v>
      </c>
      <c r="B112" s="62" t="s">
        <v>807</v>
      </c>
      <c r="F112" s="73"/>
      <c r="G112" s="73"/>
      <c r="H112" s="73"/>
      <c r="I112" s="73"/>
      <c r="J112" s="250">
        <v>500</v>
      </c>
      <c r="K112" s="155">
        <f t="shared" si="15"/>
        <v>500</v>
      </c>
      <c r="L112" s="73">
        <v>-500</v>
      </c>
      <c r="M112" s="73"/>
      <c r="N112" s="73">
        <v>213.34</v>
      </c>
    </row>
    <row r="113" spans="1:21" x14ac:dyDescent="0.25">
      <c r="A113" s="98"/>
      <c r="B113" s="58"/>
      <c r="C113" s="58"/>
      <c r="D113" s="58"/>
      <c r="E113" s="58"/>
      <c r="F113" s="73"/>
      <c r="G113" s="73"/>
      <c r="H113" s="73"/>
      <c r="I113" s="73"/>
      <c r="J113" s="73"/>
      <c r="K113" s="155"/>
      <c r="L113" s="73"/>
      <c r="M113" s="73"/>
      <c r="N113" s="73"/>
    </row>
    <row r="114" spans="1:21" x14ac:dyDescent="0.25">
      <c r="A114" s="743" t="s">
        <v>389</v>
      </c>
      <c r="B114" s="744"/>
      <c r="C114" s="744"/>
      <c r="D114" s="744"/>
      <c r="E114" s="745"/>
      <c r="F114" s="12"/>
      <c r="G114" s="12"/>
      <c r="K114" s="155"/>
    </row>
    <row r="115" spans="1:21" x14ac:dyDescent="0.25">
      <c r="A115" s="709" t="s">
        <v>241</v>
      </c>
      <c r="B115" s="710"/>
      <c r="C115" s="710"/>
      <c r="D115" s="710"/>
      <c r="E115" s="711"/>
      <c r="F115" s="99">
        <f>F117</f>
        <v>1308.9999999999998</v>
      </c>
      <c r="G115" s="99">
        <f>G117</f>
        <v>4200</v>
      </c>
      <c r="H115" s="99">
        <f>H117</f>
        <v>1600</v>
      </c>
      <c r="I115" s="152">
        <f>G115+H115</f>
        <v>5800</v>
      </c>
      <c r="J115" s="152"/>
      <c r="K115" s="197">
        <f>I115+J115</f>
        <v>5800</v>
      </c>
      <c r="L115" s="152"/>
      <c r="M115" s="152"/>
      <c r="N115" s="152">
        <f>SUM(N117:N128)</f>
        <v>2513.96</v>
      </c>
    </row>
    <row r="116" spans="1:21" x14ac:dyDescent="0.25">
      <c r="A116" s="95"/>
      <c r="B116" s="60"/>
      <c r="C116" s="60"/>
      <c r="D116" s="60"/>
      <c r="E116" s="60"/>
      <c r="K116" s="155"/>
    </row>
    <row r="117" spans="1:21" x14ac:dyDescent="0.25">
      <c r="A117" s="97">
        <v>3</v>
      </c>
      <c r="B117" s="63" t="s">
        <v>19</v>
      </c>
      <c r="C117" s="63"/>
      <c r="D117" s="63"/>
      <c r="E117" s="63"/>
      <c r="F117" s="79">
        <f>F118+F121</f>
        <v>1308.9999999999998</v>
      </c>
      <c r="G117" s="79">
        <f>G118+G121</f>
        <v>4200</v>
      </c>
      <c r="H117" s="79">
        <f>H118+H121+H126</f>
        <v>1600</v>
      </c>
      <c r="I117" s="79">
        <f>G117+H117</f>
        <v>5800</v>
      </c>
      <c r="J117" s="79"/>
      <c r="K117" s="155">
        <f>I117+J117</f>
        <v>5800</v>
      </c>
      <c r="L117" s="79"/>
      <c r="M117" s="79"/>
      <c r="N117" s="79"/>
    </row>
    <row r="118" spans="1:21" x14ac:dyDescent="0.25">
      <c r="A118" s="97">
        <v>32</v>
      </c>
      <c r="B118" s="63" t="s">
        <v>170</v>
      </c>
      <c r="C118" s="63"/>
      <c r="D118" s="63"/>
      <c r="E118" s="63"/>
      <c r="F118" s="79">
        <f t="shared" ref="F118:H119" si="16">F119</f>
        <v>0</v>
      </c>
      <c r="G118" s="79">
        <f t="shared" si="16"/>
        <v>1000</v>
      </c>
      <c r="H118" s="79">
        <f t="shared" si="16"/>
        <v>0</v>
      </c>
      <c r="I118" s="79">
        <f t="shared" ref="I118:I125" si="17">G118+H118</f>
        <v>1000</v>
      </c>
      <c r="J118" s="79"/>
      <c r="K118" s="155">
        <f t="shared" ref="K118:K128" si="18">I118+J118</f>
        <v>1000</v>
      </c>
      <c r="L118" s="79"/>
      <c r="M118" s="79"/>
      <c r="N118" s="79"/>
    </row>
    <row r="119" spans="1:21" x14ac:dyDescent="0.25">
      <c r="A119" s="97">
        <v>329</v>
      </c>
      <c r="B119" s="63" t="s">
        <v>199</v>
      </c>
      <c r="C119" s="63"/>
      <c r="D119" s="63"/>
      <c r="E119" s="63"/>
      <c r="F119" s="79">
        <f t="shared" si="16"/>
        <v>0</v>
      </c>
      <c r="G119" s="79">
        <f t="shared" si="16"/>
        <v>1000</v>
      </c>
      <c r="H119" s="79">
        <f t="shared" si="16"/>
        <v>0</v>
      </c>
      <c r="I119" s="79">
        <f t="shared" si="17"/>
        <v>1000</v>
      </c>
      <c r="J119" s="79"/>
      <c r="K119" s="155">
        <f t="shared" si="18"/>
        <v>1000</v>
      </c>
      <c r="L119" s="79"/>
      <c r="M119" s="79"/>
      <c r="N119" s="79"/>
    </row>
    <row r="120" spans="1:21" x14ac:dyDescent="0.25">
      <c r="A120" s="98">
        <v>3295</v>
      </c>
      <c r="B120" t="s">
        <v>242</v>
      </c>
      <c r="F120" s="73"/>
      <c r="G120" s="73">
        <v>1000</v>
      </c>
      <c r="H120" s="73"/>
      <c r="I120" s="73">
        <f t="shared" si="17"/>
        <v>1000</v>
      </c>
      <c r="J120" s="73"/>
      <c r="K120" s="154">
        <f t="shared" si="18"/>
        <v>1000</v>
      </c>
      <c r="L120" s="73">
        <v>-500</v>
      </c>
      <c r="M120" s="73"/>
      <c r="N120" s="73">
        <v>103.9</v>
      </c>
    </row>
    <row r="121" spans="1:21" x14ac:dyDescent="0.25">
      <c r="A121" s="97">
        <v>34</v>
      </c>
      <c r="B121" s="63" t="s">
        <v>174</v>
      </c>
      <c r="C121" s="63"/>
      <c r="D121" s="63"/>
      <c r="E121" s="63"/>
      <c r="F121" s="79">
        <f>F122</f>
        <v>1308.9999999999998</v>
      </c>
      <c r="G121" s="79">
        <f>G122</f>
        <v>3200</v>
      </c>
      <c r="H121" s="79">
        <f>H122</f>
        <v>1100</v>
      </c>
      <c r="I121" s="79">
        <f t="shared" si="17"/>
        <v>4300</v>
      </c>
      <c r="J121" s="79"/>
      <c r="K121" s="155">
        <f t="shared" si="18"/>
        <v>4300</v>
      </c>
      <c r="L121" s="79"/>
      <c r="M121" s="79"/>
      <c r="N121" s="79"/>
    </row>
    <row r="122" spans="1:21" x14ac:dyDescent="0.25">
      <c r="A122" s="97">
        <v>343</v>
      </c>
      <c r="B122" s="63" t="s">
        <v>175</v>
      </c>
      <c r="C122" s="63"/>
      <c r="D122" s="63"/>
      <c r="E122" s="63"/>
      <c r="F122" s="79">
        <f>F123+F125+F124</f>
        <v>1308.9999999999998</v>
      </c>
      <c r="G122" s="79">
        <f>G123+G125+G124</f>
        <v>3200</v>
      </c>
      <c r="H122" s="79">
        <f>H123+H125+H124</f>
        <v>1100</v>
      </c>
      <c r="I122" s="79">
        <f>G122+H122</f>
        <v>4300</v>
      </c>
      <c r="J122" s="79"/>
      <c r="K122" s="155">
        <f t="shared" si="18"/>
        <v>4300</v>
      </c>
      <c r="L122" s="79"/>
      <c r="M122" s="79"/>
      <c r="N122" s="79"/>
    </row>
    <row r="123" spans="1:21" x14ac:dyDescent="0.25">
      <c r="A123" s="98">
        <v>3431</v>
      </c>
      <c r="B123" t="s">
        <v>243</v>
      </c>
      <c r="F123" s="73">
        <f>714.22+154.3</f>
        <v>868.52</v>
      </c>
      <c r="G123" s="73">
        <v>2500</v>
      </c>
      <c r="H123" s="73"/>
      <c r="I123" s="73">
        <f t="shared" si="17"/>
        <v>2500</v>
      </c>
      <c r="J123" s="73"/>
      <c r="K123" s="154">
        <f t="shared" si="18"/>
        <v>2500</v>
      </c>
      <c r="L123" s="73"/>
      <c r="M123" s="73"/>
      <c r="N123" s="73">
        <f>1567.72+195.8</f>
        <v>1763.52</v>
      </c>
      <c r="O123" s="7" t="s">
        <v>534</v>
      </c>
      <c r="P123" s="7" t="s">
        <v>535</v>
      </c>
    </row>
    <row r="124" spans="1:21" x14ac:dyDescent="0.25">
      <c r="A124" s="98">
        <v>3433</v>
      </c>
      <c r="B124" s="62" t="s">
        <v>726</v>
      </c>
      <c r="F124" s="73">
        <v>0.11</v>
      </c>
      <c r="G124" s="73"/>
      <c r="H124" s="73">
        <v>100</v>
      </c>
      <c r="I124" s="73">
        <f t="shared" si="17"/>
        <v>100</v>
      </c>
      <c r="J124" s="73"/>
      <c r="K124" s="154">
        <f t="shared" si="18"/>
        <v>100</v>
      </c>
      <c r="L124" s="73"/>
      <c r="M124" s="73"/>
      <c r="N124" s="73">
        <v>0.11</v>
      </c>
    </row>
    <row r="125" spans="1:21" x14ac:dyDescent="0.25">
      <c r="A125" s="98">
        <v>3434</v>
      </c>
      <c r="B125" s="700" t="s">
        <v>244</v>
      </c>
      <c r="C125" s="649"/>
      <c r="D125" s="649"/>
      <c r="E125" s="649"/>
      <c r="F125" s="73">
        <v>440.37</v>
      </c>
      <c r="G125" s="73">
        <v>700</v>
      </c>
      <c r="H125" s="73">
        <v>1000</v>
      </c>
      <c r="I125" s="73">
        <f t="shared" si="17"/>
        <v>1700</v>
      </c>
      <c r="J125" s="73"/>
      <c r="K125" s="154">
        <f t="shared" si="18"/>
        <v>1700</v>
      </c>
      <c r="L125" s="73"/>
      <c r="M125" s="73"/>
      <c r="N125" s="73">
        <v>646.42999999999995</v>
      </c>
      <c r="O125" s="7" t="s">
        <v>749</v>
      </c>
    </row>
    <row r="126" spans="1:21" s="145" customFormat="1" x14ac:dyDescent="0.25">
      <c r="A126" s="148">
        <v>38</v>
      </c>
      <c r="B126" s="61" t="s">
        <v>194</v>
      </c>
      <c r="C126" s="275"/>
      <c r="D126" s="275"/>
      <c r="E126" s="275"/>
      <c r="F126" s="79"/>
      <c r="G126" s="79"/>
      <c r="H126" s="79">
        <f>H127</f>
        <v>500</v>
      </c>
      <c r="I126" s="79">
        <f>G126+H126</f>
        <v>500</v>
      </c>
      <c r="J126" s="79"/>
      <c r="K126" s="155">
        <f t="shared" si="18"/>
        <v>500</v>
      </c>
      <c r="L126" s="79"/>
      <c r="M126" s="79"/>
      <c r="N126" s="79"/>
      <c r="O126" s="190"/>
      <c r="P126" s="190"/>
      <c r="Q126" s="190"/>
      <c r="R126" s="190"/>
      <c r="S126" s="190"/>
      <c r="T126" s="190"/>
      <c r="U126" s="190"/>
    </row>
    <row r="127" spans="1:21" s="145" customFormat="1" x14ac:dyDescent="0.25">
      <c r="A127" s="148">
        <v>383</v>
      </c>
      <c r="B127" s="61" t="s">
        <v>751</v>
      </c>
      <c r="C127" s="275"/>
      <c r="D127" s="275"/>
      <c r="E127" s="275"/>
      <c r="F127" s="79"/>
      <c r="G127" s="79"/>
      <c r="H127" s="79">
        <f>H128</f>
        <v>500</v>
      </c>
      <c r="I127" s="79">
        <f>G127+H127</f>
        <v>500</v>
      </c>
      <c r="J127" s="79"/>
      <c r="K127" s="155">
        <f t="shared" si="18"/>
        <v>500</v>
      </c>
      <c r="L127" s="79"/>
      <c r="M127" s="79"/>
      <c r="N127" s="79"/>
      <c r="O127" s="190"/>
      <c r="P127" s="190"/>
      <c r="Q127" s="190"/>
      <c r="R127" s="190"/>
      <c r="S127" s="190"/>
      <c r="T127" s="190"/>
      <c r="U127" s="190"/>
    </row>
    <row r="128" spans="1:21" x14ac:dyDescent="0.25">
      <c r="A128" s="98">
        <v>38319</v>
      </c>
      <c r="B128" s="58" t="s">
        <v>750</v>
      </c>
      <c r="C128" s="57"/>
      <c r="D128" s="57"/>
      <c r="E128" s="57"/>
      <c r="F128" s="73"/>
      <c r="G128" s="73"/>
      <c r="H128" s="73">
        <v>500</v>
      </c>
      <c r="I128" s="73">
        <f>G128+H128</f>
        <v>500</v>
      </c>
      <c r="J128" s="73"/>
      <c r="K128" s="154">
        <f t="shared" si="18"/>
        <v>500</v>
      </c>
      <c r="L128" s="73"/>
      <c r="M128" s="73"/>
      <c r="N128" s="73"/>
    </row>
    <row r="129" spans="1:14" x14ac:dyDescent="0.25">
      <c r="A129" s="98"/>
      <c r="B129" s="58"/>
      <c r="C129" s="57"/>
      <c r="D129" s="57"/>
      <c r="E129" s="57"/>
      <c r="F129" s="73"/>
      <c r="G129" s="73"/>
      <c r="H129" s="73"/>
      <c r="I129" s="73"/>
      <c r="J129" s="73"/>
      <c r="K129" s="154"/>
      <c r="L129" s="73"/>
      <c r="M129" s="73"/>
      <c r="N129" s="73"/>
    </row>
    <row r="130" spans="1:14" x14ac:dyDescent="0.25">
      <c r="A130" s="709" t="s">
        <v>860</v>
      </c>
      <c r="B130" s="710"/>
      <c r="C130" s="710"/>
      <c r="D130" s="710"/>
      <c r="E130" s="711"/>
      <c r="F130" s="447"/>
      <c r="G130" s="447"/>
      <c r="H130" s="447"/>
      <c r="I130" s="447"/>
      <c r="J130" s="447"/>
      <c r="K130" s="453"/>
      <c r="L130" s="447"/>
      <c r="M130" s="447"/>
      <c r="N130" s="447"/>
    </row>
    <row r="131" spans="1:14" x14ac:dyDescent="0.25">
      <c r="A131" s="98"/>
      <c r="B131" s="58"/>
      <c r="C131" s="57"/>
      <c r="D131" s="57"/>
      <c r="E131" s="57"/>
      <c r="F131" s="73"/>
      <c r="G131" s="73"/>
      <c r="H131" s="73"/>
      <c r="I131" s="73"/>
      <c r="J131" s="73"/>
      <c r="K131" s="154"/>
      <c r="L131" s="73"/>
      <c r="M131" s="73"/>
      <c r="N131" s="73"/>
    </row>
    <row r="132" spans="1:14" x14ac:dyDescent="0.25">
      <c r="A132" s="97">
        <v>3</v>
      </c>
      <c r="B132" s="63" t="s">
        <v>19</v>
      </c>
      <c r="C132" s="63"/>
      <c r="D132" s="63"/>
      <c r="E132" s="63"/>
      <c r="F132" s="73"/>
      <c r="G132" s="73"/>
      <c r="H132" s="73"/>
      <c r="I132" s="73"/>
      <c r="J132" s="73"/>
      <c r="K132" s="154"/>
      <c r="L132" s="73"/>
      <c r="M132" s="73"/>
      <c r="N132" s="73"/>
    </row>
    <row r="133" spans="1:14" x14ac:dyDescent="0.25">
      <c r="A133" s="97">
        <v>32</v>
      </c>
      <c r="B133" s="63" t="s">
        <v>170</v>
      </c>
      <c r="C133" s="63"/>
      <c r="D133" s="63"/>
      <c r="E133" s="63"/>
      <c r="F133" s="73"/>
      <c r="G133" s="73"/>
      <c r="H133" s="73"/>
      <c r="I133" s="73"/>
      <c r="J133" s="73"/>
      <c r="K133" s="154"/>
      <c r="L133" s="73"/>
      <c r="M133" s="73"/>
      <c r="N133" s="73"/>
    </row>
    <row r="134" spans="1:14" x14ac:dyDescent="0.25">
      <c r="A134" s="97">
        <v>322</v>
      </c>
      <c r="B134" s="63" t="s">
        <v>172</v>
      </c>
      <c r="C134" s="63"/>
      <c r="D134" s="63"/>
      <c r="E134" s="63"/>
      <c r="F134" s="73"/>
      <c r="G134" s="73"/>
      <c r="H134" s="73"/>
      <c r="I134" s="73"/>
      <c r="J134" s="73"/>
      <c r="K134" s="154"/>
      <c r="L134" s="73"/>
      <c r="M134" s="73"/>
      <c r="N134" s="73"/>
    </row>
    <row r="135" spans="1:14" x14ac:dyDescent="0.25">
      <c r="A135" s="98">
        <v>3225</v>
      </c>
      <c r="B135" t="s">
        <v>217</v>
      </c>
      <c r="F135" s="73"/>
      <c r="G135" s="73"/>
      <c r="H135" s="73"/>
      <c r="I135" s="73"/>
      <c r="J135" s="73"/>
      <c r="K135" s="154"/>
      <c r="L135" s="73">
        <v>6500</v>
      </c>
      <c r="M135" s="73"/>
      <c r="N135" s="73"/>
    </row>
    <row r="136" spans="1:14" x14ac:dyDescent="0.25">
      <c r="A136" s="97">
        <v>323</v>
      </c>
      <c r="B136" s="63" t="s">
        <v>173</v>
      </c>
      <c r="C136" s="63"/>
      <c r="D136" s="63"/>
      <c r="E136" s="63"/>
      <c r="F136" s="73"/>
      <c r="G136" s="73"/>
      <c r="H136" s="73"/>
      <c r="I136" s="73"/>
      <c r="J136" s="73"/>
      <c r="K136" s="154"/>
      <c r="L136" s="73"/>
      <c r="M136" s="73"/>
      <c r="N136" s="73"/>
    </row>
    <row r="137" spans="1:14" x14ac:dyDescent="0.25">
      <c r="A137" s="98">
        <v>3232</v>
      </c>
      <c r="B137" s="58" t="s">
        <v>861</v>
      </c>
      <c r="C137" s="57"/>
      <c r="D137" s="57"/>
      <c r="E137" s="57"/>
      <c r="F137" s="73"/>
      <c r="G137" s="73"/>
      <c r="H137" s="73"/>
      <c r="I137" s="73"/>
      <c r="J137" s="73"/>
      <c r="K137" s="154"/>
      <c r="L137" s="73"/>
      <c r="M137" s="73"/>
      <c r="N137" s="73"/>
    </row>
    <row r="138" spans="1:14" x14ac:dyDescent="0.25">
      <c r="A138" s="97">
        <v>4</v>
      </c>
      <c r="B138" s="63" t="s">
        <v>5</v>
      </c>
      <c r="C138" s="63"/>
      <c r="D138" s="63"/>
      <c r="E138" s="63"/>
      <c r="F138" s="73"/>
      <c r="G138" s="73"/>
      <c r="H138" s="73"/>
      <c r="I138" s="73"/>
      <c r="J138" s="73"/>
      <c r="K138" s="154"/>
      <c r="L138" s="73">
        <v>500</v>
      </c>
      <c r="M138" s="73"/>
      <c r="N138" s="73"/>
    </row>
    <row r="139" spans="1:14" x14ac:dyDescent="0.25">
      <c r="A139" s="97">
        <v>42</v>
      </c>
      <c r="B139" s="712" t="s">
        <v>248</v>
      </c>
      <c r="C139" s="712"/>
      <c r="D139" s="712"/>
      <c r="E139" s="712"/>
      <c r="F139" s="73"/>
      <c r="G139" s="73"/>
      <c r="H139" s="73"/>
      <c r="I139" s="73"/>
      <c r="J139" s="73"/>
      <c r="K139" s="154"/>
      <c r="L139" s="73"/>
      <c r="M139" s="73"/>
      <c r="N139" s="73"/>
    </row>
    <row r="140" spans="1:14" x14ac:dyDescent="0.25">
      <c r="A140" s="98">
        <v>422</v>
      </c>
      <c r="B140" s="58"/>
      <c r="C140" s="57"/>
      <c r="D140" s="57"/>
      <c r="E140" s="57"/>
      <c r="F140" s="73"/>
      <c r="G140" s="73"/>
      <c r="H140" s="73"/>
      <c r="I140" s="73"/>
      <c r="J140" s="73"/>
      <c r="K140" s="155"/>
      <c r="L140" s="73"/>
      <c r="M140" s="73"/>
      <c r="N140" s="73"/>
    </row>
    <row r="141" spans="1:14" x14ac:dyDescent="0.25">
      <c r="A141" s="743" t="s">
        <v>389</v>
      </c>
      <c r="B141" s="744"/>
      <c r="C141" s="744"/>
      <c r="D141" s="744"/>
      <c r="E141" s="745"/>
      <c r="F141" s="68"/>
      <c r="G141" s="68"/>
      <c r="H141" s="73"/>
      <c r="I141" s="73"/>
      <c r="J141" s="73"/>
      <c r="K141" s="155"/>
      <c r="L141" s="73">
        <v>850</v>
      </c>
      <c r="M141" s="73"/>
      <c r="N141" s="73"/>
    </row>
    <row r="142" spans="1:14" x14ac:dyDescent="0.25">
      <c r="A142" s="102" t="s">
        <v>74</v>
      </c>
      <c r="B142" s="112"/>
      <c r="C142" s="112"/>
      <c r="D142" s="112"/>
      <c r="E142" s="112"/>
      <c r="F142" s="94">
        <f>F144</f>
        <v>375</v>
      </c>
      <c r="G142" s="94">
        <f>G144</f>
        <v>20000</v>
      </c>
      <c r="H142" s="94">
        <f>H144</f>
        <v>0</v>
      </c>
      <c r="I142" s="249">
        <f>G142+H142</f>
        <v>20000</v>
      </c>
      <c r="J142" s="249">
        <f>J144</f>
        <v>-5000</v>
      </c>
      <c r="K142" s="197">
        <f>I142+J142</f>
        <v>15000</v>
      </c>
      <c r="L142" s="249"/>
      <c r="M142" s="249"/>
      <c r="N142" s="249">
        <f>N147</f>
        <v>2625</v>
      </c>
    </row>
    <row r="143" spans="1:14" x14ac:dyDescent="0.25">
      <c r="A143" s="98"/>
      <c r="K143" s="155"/>
    </row>
    <row r="144" spans="1:14" x14ac:dyDescent="0.25">
      <c r="A144" s="97">
        <v>4</v>
      </c>
      <c r="B144" s="63" t="s">
        <v>5</v>
      </c>
      <c r="C144" s="63"/>
      <c r="D144" s="63"/>
      <c r="E144" s="63"/>
      <c r="F144" s="79">
        <f t="shared" ref="F144:H146" si="19">F145</f>
        <v>375</v>
      </c>
      <c r="G144" s="79">
        <f t="shared" si="19"/>
        <v>20000</v>
      </c>
      <c r="H144" s="79">
        <f t="shared" si="19"/>
        <v>0</v>
      </c>
      <c r="I144" s="79">
        <f>G144+H144</f>
        <v>20000</v>
      </c>
      <c r="J144" s="79">
        <f>J145</f>
        <v>-5000</v>
      </c>
      <c r="K144" s="155">
        <f>I144+J144</f>
        <v>15000</v>
      </c>
      <c r="L144" s="79"/>
      <c r="M144" s="79"/>
      <c r="N144" s="79"/>
    </row>
    <row r="145" spans="1:14" x14ac:dyDescent="0.25">
      <c r="A145" s="97">
        <v>42</v>
      </c>
      <c r="B145" s="712" t="s">
        <v>248</v>
      </c>
      <c r="C145" s="712"/>
      <c r="D145" s="712"/>
      <c r="E145" s="712"/>
      <c r="F145" s="79">
        <f t="shared" si="19"/>
        <v>375</v>
      </c>
      <c r="G145" s="79">
        <f t="shared" si="19"/>
        <v>20000</v>
      </c>
      <c r="H145" s="79">
        <f t="shared" si="19"/>
        <v>0</v>
      </c>
      <c r="I145" s="79">
        <f t="shared" ref="I145:I147" si="20">G145+H145</f>
        <v>20000</v>
      </c>
      <c r="J145" s="79">
        <f>J146</f>
        <v>-5000</v>
      </c>
      <c r="K145" s="155">
        <f t="shared" ref="K145:K147" si="21">I145+J145</f>
        <v>15000</v>
      </c>
      <c r="L145" s="79"/>
      <c r="M145" s="79"/>
      <c r="N145" s="79"/>
    </row>
    <row r="146" spans="1:14" x14ac:dyDescent="0.25">
      <c r="A146" s="97">
        <v>426</v>
      </c>
      <c r="B146" s="63" t="s">
        <v>184</v>
      </c>
      <c r="C146" s="63"/>
      <c r="D146" s="63"/>
      <c r="E146" s="63"/>
      <c r="F146" s="79">
        <f t="shared" si="19"/>
        <v>375</v>
      </c>
      <c r="G146" s="79">
        <f t="shared" si="19"/>
        <v>20000</v>
      </c>
      <c r="H146" s="79">
        <f t="shared" si="19"/>
        <v>0</v>
      </c>
      <c r="I146" s="79">
        <f t="shared" si="20"/>
        <v>20000</v>
      </c>
      <c r="J146" s="79">
        <f>J147</f>
        <v>-5000</v>
      </c>
      <c r="K146" s="155">
        <f t="shared" si="21"/>
        <v>15000</v>
      </c>
      <c r="L146" s="79"/>
      <c r="M146" s="79"/>
      <c r="N146" s="79"/>
    </row>
    <row r="147" spans="1:14" x14ac:dyDescent="0.25">
      <c r="A147" s="98">
        <v>4263</v>
      </c>
      <c r="B147" s="62" t="s">
        <v>249</v>
      </c>
      <c r="F147" s="7">
        <v>375</v>
      </c>
      <c r="G147" s="7">
        <f>30000-10000</f>
        <v>20000</v>
      </c>
      <c r="I147" s="73">
        <f t="shared" si="20"/>
        <v>20000</v>
      </c>
      <c r="J147" s="73">
        <v>-5000</v>
      </c>
      <c r="K147" s="154">
        <f t="shared" si="21"/>
        <v>15000</v>
      </c>
      <c r="L147" s="73">
        <v>-12000</v>
      </c>
      <c r="M147" s="73"/>
      <c r="N147" s="73">
        <v>2625</v>
      </c>
    </row>
    <row r="148" spans="1:14" x14ac:dyDescent="0.25">
      <c r="A148" s="98"/>
      <c r="B148" s="62"/>
      <c r="K148" s="155"/>
    </row>
    <row r="149" spans="1:14" x14ac:dyDescent="0.25">
      <c r="A149" s="743" t="s">
        <v>389</v>
      </c>
      <c r="B149" s="744"/>
      <c r="C149" s="744"/>
      <c r="D149" s="744"/>
      <c r="E149" s="745"/>
      <c r="F149" s="68"/>
      <c r="G149" s="68"/>
      <c r="H149" s="73"/>
      <c r="I149" s="73"/>
      <c r="J149" s="73"/>
      <c r="K149" s="155"/>
      <c r="L149" s="73"/>
      <c r="M149" s="73"/>
      <c r="N149" s="73"/>
    </row>
    <row r="150" spans="1:14" x14ac:dyDescent="0.25">
      <c r="A150" s="709" t="s">
        <v>608</v>
      </c>
      <c r="B150" s="710"/>
      <c r="C150" s="710"/>
      <c r="D150" s="710"/>
      <c r="E150" s="711"/>
      <c r="F150" s="94">
        <f>F152</f>
        <v>0</v>
      </c>
      <c r="G150" s="94">
        <f>G152</f>
        <v>20000</v>
      </c>
      <c r="H150" s="94">
        <f>H152</f>
        <v>-5000</v>
      </c>
      <c r="I150" s="249">
        <f>G150+H150</f>
        <v>15000</v>
      </c>
      <c r="J150" s="249"/>
      <c r="K150" s="197">
        <f>I150+J150</f>
        <v>15000</v>
      </c>
      <c r="L150" s="249"/>
      <c r="M150" s="249"/>
      <c r="N150" s="249"/>
    </row>
    <row r="151" spans="1:14" x14ac:dyDescent="0.25">
      <c r="A151" s="98"/>
      <c r="K151" s="154"/>
    </row>
    <row r="152" spans="1:14" x14ac:dyDescent="0.25">
      <c r="A152" s="97">
        <v>3</v>
      </c>
      <c r="B152" s="63" t="s">
        <v>19</v>
      </c>
      <c r="C152" s="63"/>
      <c r="D152" s="63"/>
      <c r="E152" s="63"/>
      <c r="F152" s="79">
        <f t="shared" ref="F152:H154" si="22">F153</f>
        <v>0</v>
      </c>
      <c r="G152" s="79">
        <f t="shared" si="22"/>
        <v>20000</v>
      </c>
      <c r="H152" s="79">
        <f t="shared" si="22"/>
        <v>-5000</v>
      </c>
      <c r="I152" s="79">
        <f>G152+H152</f>
        <v>15000</v>
      </c>
      <c r="J152" s="79"/>
      <c r="K152" s="155">
        <f t="shared" ref="K152:K155" si="23">I152+J152</f>
        <v>15000</v>
      </c>
      <c r="L152" s="79"/>
      <c r="M152" s="79"/>
      <c r="N152" s="79"/>
    </row>
    <row r="153" spans="1:14" x14ac:dyDescent="0.25">
      <c r="A153" s="97">
        <v>32</v>
      </c>
      <c r="B153" s="712" t="s">
        <v>590</v>
      </c>
      <c r="C153" s="712"/>
      <c r="D153" s="712"/>
      <c r="E153" s="712"/>
      <c r="F153" s="79">
        <f t="shared" si="22"/>
        <v>0</v>
      </c>
      <c r="G153" s="79">
        <f t="shared" si="22"/>
        <v>20000</v>
      </c>
      <c r="H153" s="79">
        <f t="shared" si="22"/>
        <v>-5000</v>
      </c>
      <c r="I153" s="79">
        <f t="shared" ref="I153:I155" si="24">G153+H153</f>
        <v>15000</v>
      </c>
      <c r="J153" s="79"/>
      <c r="K153" s="155">
        <f t="shared" si="23"/>
        <v>15000</v>
      </c>
      <c r="L153" s="79"/>
      <c r="M153" s="79"/>
      <c r="N153" s="79"/>
    </row>
    <row r="154" spans="1:14" x14ac:dyDescent="0.25">
      <c r="A154" s="97">
        <v>323</v>
      </c>
      <c r="B154" s="63" t="s">
        <v>173</v>
      </c>
      <c r="C154" s="63"/>
      <c r="D154" s="63"/>
      <c r="E154" s="63"/>
      <c r="F154" s="79">
        <f t="shared" si="22"/>
        <v>0</v>
      </c>
      <c r="G154" s="79">
        <f t="shared" si="22"/>
        <v>20000</v>
      </c>
      <c r="H154" s="79">
        <f t="shared" si="22"/>
        <v>-5000</v>
      </c>
      <c r="I154" s="79">
        <f t="shared" si="24"/>
        <v>15000</v>
      </c>
      <c r="J154" s="79"/>
      <c r="K154" s="155">
        <f t="shared" si="23"/>
        <v>15000</v>
      </c>
      <c r="L154" s="79"/>
      <c r="M154" s="79"/>
      <c r="N154" s="79"/>
    </row>
    <row r="155" spans="1:14" x14ac:dyDescent="0.25">
      <c r="A155" s="98">
        <v>3232</v>
      </c>
      <c r="B155" s="62" t="s">
        <v>591</v>
      </c>
      <c r="G155" s="7">
        <v>20000</v>
      </c>
      <c r="H155" s="7">
        <v>-5000</v>
      </c>
      <c r="I155" s="73">
        <f t="shared" si="24"/>
        <v>15000</v>
      </c>
      <c r="J155" s="73"/>
      <c r="K155" s="154">
        <f t="shared" si="23"/>
        <v>15000</v>
      </c>
      <c r="L155" s="73">
        <v>-15000</v>
      </c>
      <c r="M155" s="73"/>
      <c r="N155" s="73"/>
    </row>
    <row r="156" spans="1:14" x14ac:dyDescent="0.25">
      <c r="A156" s="98"/>
      <c r="B156" s="62"/>
      <c r="K156" s="155"/>
    </row>
    <row r="157" spans="1:14" x14ac:dyDescent="0.25">
      <c r="A157" s="743" t="s">
        <v>389</v>
      </c>
      <c r="B157" s="744"/>
      <c r="C157" s="744"/>
      <c r="D157" s="744"/>
      <c r="E157" s="745"/>
      <c r="F157" s="12"/>
      <c r="G157" s="12"/>
      <c r="K157" s="155"/>
    </row>
    <row r="158" spans="1:14" x14ac:dyDescent="0.25">
      <c r="A158" s="113" t="s">
        <v>75</v>
      </c>
      <c r="B158" s="113"/>
      <c r="C158" s="113"/>
      <c r="D158" s="113"/>
      <c r="E158" s="113"/>
      <c r="F158" s="99">
        <f>F160</f>
        <v>4822.38</v>
      </c>
      <c r="G158" s="99">
        <f>G160</f>
        <v>14500</v>
      </c>
      <c r="H158" s="99">
        <f>H160</f>
        <v>-5000</v>
      </c>
      <c r="I158" s="152">
        <f>G158+H158</f>
        <v>9500</v>
      </c>
      <c r="J158" s="152">
        <f>J160</f>
        <v>1500</v>
      </c>
      <c r="K158" s="197">
        <f>I158+J158</f>
        <v>11000</v>
      </c>
      <c r="L158" s="152"/>
      <c r="M158" s="152"/>
      <c r="N158" s="152">
        <f>N163+N166</f>
        <v>8917.5400000000009</v>
      </c>
    </row>
    <row r="159" spans="1:14" x14ac:dyDescent="0.25">
      <c r="A159" s="97"/>
      <c r="B159" s="63"/>
      <c r="C159" s="63"/>
      <c r="D159" s="63"/>
      <c r="E159" s="63"/>
      <c r="F159" s="79"/>
      <c r="G159" s="79"/>
      <c r="H159" s="79"/>
      <c r="I159" s="79"/>
      <c r="J159" s="79"/>
      <c r="K159" s="154"/>
      <c r="L159" s="79"/>
      <c r="M159" s="79"/>
      <c r="N159" s="79"/>
    </row>
    <row r="160" spans="1:14" x14ac:dyDescent="0.25">
      <c r="A160" s="97">
        <v>4</v>
      </c>
      <c r="B160" s="63" t="s">
        <v>5</v>
      </c>
      <c r="C160" s="63"/>
      <c r="D160" s="63"/>
      <c r="E160" s="63"/>
      <c r="F160" s="79">
        <f>F161</f>
        <v>4822.38</v>
      </c>
      <c r="G160" s="79">
        <f>G161</f>
        <v>14500</v>
      </c>
      <c r="H160" s="79">
        <f>H161</f>
        <v>-5000</v>
      </c>
      <c r="I160" s="79">
        <f>G160+H160</f>
        <v>9500</v>
      </c>
      <c r="J160" s="79">
        <f>J161</f>
        <v>1500</v>
      </c>
      <c r="K160" s="155">
        <f t="shared" ref="K160:K166" si="25">I160+J160</f>
        <v>11000</v>
      </c>
      <c r="L160" s="79"/>
      <c r="M160" s="79"/>
      <c r="N160" s="79"/>
    </row>
    <row r="161" spans="1:17" x14ac:dyDescent="0.25">
      <c r="A161" s="97">
        <v>42</v>
      </c>
      <c r="B161" s="712" t="s">
        <v>248</v>
      </c>
      <c r="C161" s="712"/>
      <c r="D161" s="712"/>
      <c r="E161" s="712"/>
      <c r="F161" s="79">
        <f>F162+F165</f>
        <v>4822.38</v>
      </c>
      <c r="G161" s="79">
        <f>G162+G165</f>
        <v>14500</v>
      </c>
      <c r="H161" s="79">
        <f>H162+H165</f>
        <v>-5000</v>
      </c>
      <c r="I161" s="79">
        <f t="shared" ref="I161:I166" si="26">G161+H161</f>
        <v>9500</v>
      </c>
      <c r="J161" s="79">
        <f>J162+J165</f>
        <v>1500</v>
      </c>
      <c r="K161" s="155">
        <f t="shared" si="25"/>
        <v>11000</v>
      </c>
      <c r="L161" s="79"/>
      <c r="M161" s="79"/>
      <c r="N161" s="79"/>
    </row>
    <row r="162" spans="1:17" x14ac:dyDescent="0.25">
      <c r="A162" s="97">
        <v>422</v>
      </c>
      <c r="B162" s="63" t="s">
        <v>183</v>
      </c>
      <c r="C162" s="63"/>
      <c r="D162" s="63"/>
      <c r="E162" s="63"/>
      <c r="F162" s="79">
        <f>F163+F164</f>
        <v>881.75</v>
      </c>
      <c r="G162" s="79">
        <f>G163+G164</f>
        <v>6000</v>
      </c>
      <c r="H162" s="79">
        <f>H163+H164</f>
        <v>-2000</v>
      </c>
      <c r="I162" s="79">
        <f t="shared" si="26"/>
        <v>4000</v>
      </c>
      <c r="J162" s="79">
        <f>J163</f>
        <v>2500</v>
      </c>
      <c r="K162" s="155">
        <f t="shared" si="25"/>
        <v>6500</v>
      </c>
      <c r="L162" s="79"/>
      <c r="M162" s="79"/>
      <c r="N162" s="79"/>
    </row>
    <row r="163" spans="1:17" x14ac:dyDescent="0.25">
      <c r="A163" s="98">
        <v>4221</v>
      </c>
      <c r="B163" s="62" t="s">
        <v>250</v>
      </c>
      <c r="E163" s="80"/>
      <c r="F163" s="7">
        <f>638.75</f>
        <v>638.75</v>
      </c>
      <c r="G163" s="7">
        <v>3000</v>
      </c>
      <c r="H163" s="7">
        <v>-1000</v>
      </c>
      <c r="I163" s="73">
        <f t="shared" si="26"/>
        <v>2000</v>
      </c>
      <c r="J163" s="73">
        <v>2500</v>
      </c>
      <c r="K163" s="154">
        <f t="shared" si="25"/>
        <v>4500</v>
      </c>
      <c r="L163" s="73"/>
      <c r="M163" s="73"/>
      <c r="N163" s="73">
        <f>111.5+638.75+2193.75+243+1789.91</f>
        <v>4976.91</v>
      </c>
      <c r="O163" s="7" t="s">
        <v>540</v>
      </c>
      <c r="P163" s="7" t="s">
        <v>826</v>
      </c>
    </row>
    <row r="164" spans="1:17" x14ac:dyDescent="0.25">
      <c r="A164" s="98">
        <v>4227</v>
      </c>
      <c r="B164" s="62" t="s">
        <v>567</v>
      </c>
      <c r="E164" s="62"/>
      <c r="F164" s="7">
        <v>243</v>
      </c>
      <c r="G164" s="7">
        <v>3000</v>
      </c>
      <c r="H164" s="7">
        <v>-1000</v>
      </c>
      <c r="I164" s="73">
        <f t="shared" si="26"/>
        <v>2000</v>
      </c>
      <c r="J164" s="250"/>
      <c r="K164" s="154">
        <f t="shared" si="25"/>
        <v>2000</v>
      </c>
      <c r="L164" s="73"/>
      <c r="M164" s="73"/>
      <c r="N164" s="73"/>
    </row>
    <row r="165" spans="1:17" x14ac:dyDescent="0.25">
      <c r="A165" s="97">
        <v>426</v>
      </c>
      <c r="B165" s="63" t="s">
        <v>184</v>
      </c>
      <c r="C165" s="63"/>
      <c r="D165" s="63"/>
      <c r="E165" s="63"/>
      <c r="F165" s="79">
        <f>F166</f>
        <v>3940.63</v>
      </c>
      <c r="G165" s="79">
        <f>G166</f>
        <v>8500</v>
      </c>
      <c r="H165" s="79">
        <f>H166</f>
        <v>-3000</v>
      </c>
      <c r="I165" s="79">
        <f t="shared" si="26"/>
        <v>5500</v>
      </c>
      <c r="J165" s="79">
        <f>J166</f>
        <v>-1000</v>
      </c>
      <c r="K165" s="155">
        <f t="shared" si="25"/>
        <v>4500</v>
      </c>
      <c r="L165" s="79"/>
      <c r="M165" s="79"/>
      <c r="N165" s="79"/>
      <c r="O165" s="7">
        <v>1000</v>
      </c>
      <c r="P165" s="7">
        <v>1000</v>
      </c>
      <c r="Q165" s="7">
        <v>6500</v>
      </c>
    </row>
    <row r="166" spans="1:17" x14ac:dyDescent="0.25">
      <c r="A166" s="98">
        <v>4262</v>
      </c>
      <c r="B166" s="62" t="s">
        <v>251</v>
      </c>
      <c r="F166" s="7">
        <v>3940.63</v>
      </c>
      <c r="G166" s="7">
        <f>1000+1000+6500</f>
        <v>8500</v>
      </c>
      <c r="H166" s="7">
        <v>-3000</v>
      </c>
      <c r="I166" s="73">
        <f t="shared" si="26"/>
        <v>5500</v>
      </c>
      <c r="J166" s="250">
        <v>-1000</v>
      </c>
      <c r="K166" s="154">
        <f t="shared" si="25"/>
        <v>4500</v>
      </c>
      <c r="L166" s="73">
        <v>-500</v>
      </c>
      <c r="M166" s="73"/>
      <c r="N166" s="73">
        <f>3940.63</f>
        <v>3940.63</v>
      </c>
      <c r="O166" s="7" t="s">
        <v>354</v>
      </c>
      <c r="Q166" s="7" t="s">
        <v>505</v>
      </c>
    </row>
    <row r="167" spans="1:17" x14ac:dyDescent="0.25">
      <c r="A167" s="98"/>
      <c r="B167" s="62"/>
      <c r="K167" s="154"/>
    </row>
    <row r="168" spans="1:17" x14ac:dyDescent="0.25">
      <c r="A168" s="77" t="s">
        <v>417</v>
      </c>
      <c r="B168" s="175"/>
      <c r="C168" s="175"/>
      <c r="D168" s="175"/>
      <c r="E168" s="175"/>
      <c r="F168" s="78">
        <f>F170</f>
        <v>0</v>
      </c>
      <c r="G168" s="78">
        <f>G170</f>
        <v>20000</v>
      </c>
      <c r="H168" s="78">
        <f t="shared" ref="H168:I168" si="27">H170</f>
        <v>4000</v>
      </c>
      <c r="I168" s="78">
        <f t="shared" si="27"/>
        <v>24000</v>
      </c>
      <c r="J168" s="363"/>
      <c r="K168" s="367">
        <f>I168+J168</f>
        <v>24000</v>
      </c>
      <c r="L168" s="363"/>
      <c r="M168" s="363"/>
      <c r="N168" s="363"/>
    </row>
    <row r="169" spans="1:17" ht="15" customHeight="1" x14ac:dyDescent="0.25">
      <c r="A169" s="176" t="s">
        <v>446</v>
      </c>
      <c r="B169" s="181"/>
      <c r="C169" s="181"/>
      <c r="D169" s="181"/>
      <c r="E169" s="180"/>
      <c r="F169" s="180"/>
      <c r="G169" s="180"/>
      <c r="H169" s="180"/>
      <c r="I169" s="180"/>
      <c r="J169" s="180"/>
      <c r="K169" s="155"/>
      <c r="L169" s="180"/>
      <c r="M169" s="180"/>
      <c r="N169" s="180"/>
      <c r="O169" s="180"/>
    </row>
    <row r="170" spans="1:17" x14ac:dyDescent="0.25">
      <c r="A170" s="709" t="s">
        <v>245</v>
      </c>
      <c r="B170" s="710"/>
      <c r="C170" s="710"/>
      <c r="D170" s="710"/>
      <c r="E170" s="711"/>
      <c r="F170" s="99">
        <f>F172</f>
        <v>0</v>
      </c>
      <c r="G170" s="99">
        <f>G172</f>
        <v>20000</v>
      </c>
      <c r="H170" s="99">
        <f>H172</f>
        <v>4000</v>
      </c>
      <c r="I170" s="152">
        <f>G170+H170</f>
        <v>24000</v>
      </c>
      <c r="J170" s="152"/>
      <c r="K170" s="197">
        <f t="shared" ref="K170:K178" si="28">I170+J170</f>
        <v>24000</v>
      </c>
      <c r="L170" s="152"/>
      <c r="M170" s="152"/>
      <c r="N170" s="152"/>
    </row>
    <row r="171" spans="1:17" x14ac:dyDescent="0.25">
      <c r="A171" s="109"/>
      <c r="B171" s="110"/>
      <c r="C171" s="110"/>
      <c r="D171" s="110"/>
      <c r="E171" s="110"/>
      <c r="F171" s="73"/>
      <c r="G171" s="73"/>
      <c r="H171" s="73"/>
      <c r="I171" s="73"/>
      <c r="J171" s="73"/>
      <c r="K171" s="155"/>
      <c r="L171" s="73"/>
      <c r="M171" s="73"/>
      <c r="N171" s="73"/>
    </row>
    <row r="172" spans="1:17" x14ac:dyDescent="0.25">
      <c r="A172" s="111">
        <v>3</v>
      </c>
      <c r="B172" s="61" t="s">
        <v>198</v>
      </c>
      <c r="C172" s="110"/>
      <c r="D172" s="110"/>
      <c r="E172" s="110"/>
      <c r="F172" s="79">
        <f t="shared" ref="F172:H174" si="29">F173</f>
        <v>0</v>
      </c>
      <c r="G172" s="79">
        <f t="shared" si="29"/>
        <v>20000</v>
      </c>
      <c r="H172" s="79">
        <f t="shared" si="29"/>
        <v>4000</v>
      </c>
      <c r="I172" s="79">
        <f>G172+H172</f>
        <v>24000</v>
      </c>
      <c r="J172" s="79"/>
      <c r="K172" s="155">
        <f t="shared" si="28"/>
        <v>24000</v>
      </c>
      <c r="L172" s="79"/>
      <c r="M172" s="79"/>
      <c r="N172" s="79"/>
    </row>
    <row r="173" spans="1:17" x14ac:dyDescent="0.25">
      <c r="A173" s="97">
        <v>36</v>
      </c>
      <c r="B173" s="712" t="s">
        <v>246</v>
      </c>
      <c r="C173" s="712"/>
      <c r="D173" s="712"/>
      <c r="E173" s="712"/>
      <c r="F173" s="79">
        <f t="shared" si="29"/>
        <v>0</v>
      </c>
      <c r="G173" s="79">
        <f t="shared" si="29"/>
        <v>20000</v>
      </c>
      <c r="H173" s="79">
        <f t="shared" si="29"/>
        <v>4000</v>
      </c>
      <c r="I173" s="79">
        <f t="shared" ref="I173:I175" si="30">G173+H173</f>
        <v>24000</v>
      </c>
      <c r="J173" s="79"/>
      <c r="K173" s="155">
        <f t="shared" si="28"/>
        <v>24000</v>
      </c>
      <c r="L173" s="79"/>
      <c r="M173" s="79"/>
      <c r="N173" s="79"/>
    </row>
    <row r="174" spans="1:17" x14ac:dyDescent="0.25">
      <c r="A174" s="97">
        <v>363</v>
      </c>
      <c r="B174" s="712" t="s">
        <v>177</v>
      </c>
      <c r="C174" s="712"/>
      <c r="D174" s="712"/>
      <c r="E174" s="712"/>
      <c r="F174" s="79">
        <f t="shared" si="29"/>
        <v>0</v>
      </c>
      <c r="G174" s="79">
        <f t="shared" si="29"/>
        <v>20000</v>
      </c>
      <c r="H174" s="79">
        <f t="shared" si="29"/>
        <v>4000</v>
      </c>
      <c r="I174" s="79">
        <f t="shared" si="30"/>
        <v>24000</v>
      </c>
      <c r="J174" s="79"/>
      <c r="K174" s="155">
        <f t="shared" si="28"/>
        <v>24000</v>
      </c>
      <c r="L174" s="79"/>
      <c r="M174" s="79"/>
      <c r="N174" s="79"/>
    </row>
    <row r="175" spans="1:17" x14ac:dyDescent="0.25">
      <c r="A175" s="100">
        <v>3631</v>
      </c>
      <c r="B175" s="713" t="s">
        <v>247</v>
      </c>
      <c r="C175" s="713"/>
      <c r="D175" s="713"/>
      <c r="E175" s="713"/>
      <c r="F175" s="73"/>
      <c r="G175" s="73">
        <v>20000</v>
      </c>
      <c r="H175" s="73">
        <v>4000</v>
      </c>
      <c r="I175" s="73">
        <f t="shared" si="30"/>
        <v>24000</v>
      </c>
      <c r="J175" s="73"/>
      <c r="K175" s="154">
        <f t="shared" si="28"/>
        <v>24000</v>
      </c>
      <c r="L175" s="73">
        <v>2000</v>
      </c>
      <c r="M175" s="73"/>
      <c r="N175" s="73"/>
      <c r="O175" s="7" t="s">
        <v>859</v>
      </c>
    </row>
    <row r="176" spans="1:17" x14ac:dyDescent="0.25">
      <c r="A176" s="98"/>
      <c r="K176" s="155"/>
    </row>
    <row r="177" spans="1:15" x14ac:dyDescent="0.25">
      <c r="A177" s="13" t="s">
        <v>76</v>
      </c>
      <c r="B177" s="13"/>
      <c r="C177" s="13"/>
      <c r="D177" s="13"/>
      <c r="E177" s="13"/>
      <c r="F177" s="78">
        <f>F179</f>
        <v>998.6</v>
      </c>
      <c r="G177" s="78">
        <f>G179</f>
        <v>11990</v>
      </c>
      <c r="H177" s="78">
        <f t="shared" ref="H177:I177" si="31">H179</f>
        <v>-5988</v>
      </c>
      <c r="I177" s="78">
        <f t="shared" si="31"/>
        <v>6002</v>
      </c>
      <c r="J177" s="363"/>
      <c r="K177" s="367">
        <f t="shared" si="28"/>
        <v>6002</v>
      </c>
      <c r="L177" s="363"/>
      <c r="M177" s="363"/>
      <c r="N177" s="363"/>
    </row>
    <row r="178" spans="1:15" ht="15" customHeight="1" x14ac:dyDescent="0.25">
      <c r="A178" s="176" t="s">
        <v>448</v>
      </c>
      <c r="B178" s="181"/>
      <c r="C178" s="181"/>
      <c r="D178" s="181"/>
      <c r="E178" s="180"/>
      <c r="F178" s="180"/>
      <c r="G178" s="180"/>
      <c r="H178" s="180"/>
      <c r="I178" s="180"/>
      <c r="J178" s="180"/>
      <c r="K178" s="155">
        <f t="shared" si="28"/>
        <v>0</v>
      </c>
      <c r="L178" s="180"/>
      <c r="M178" s="180"/>
      <c r="N178" s="180"/>
      <c r="O178" s="180"/>
    </row>
    <row r="179" spans="1:15" x14ac:dyDescent="0.25">
      <c r="A179" s="715" t="s">
        <v>78</v>
      </c>
      <c r="B179" s="716"/>
      <c r="C179" s="716"/>
      <c r="D179" s="716"/>
      <c r="E179" s="717"/>
      <c r="F179" s="94">
        <f>F181</f>
        <v>998.6</v>
      </c>
      <c r="G179" s="94">
        <f>G181</f>
        <v>11990</v>
      </c>
      <c r="H179" s="94">
        <f>H181</f>
        <v>-5988</v>
      </c>
      <c r="I179" s="249">
        <f>G179+H179</f>
        <v>6002</v>
      </c>
      <c r="J179" s="249"/>
      <c r="K179" s="197">
        <f>I179+J179</f>
        <v>6002</v>
      </c>
      <c r="L179" s="249"/>
      <c r="M179" s="249"/>
      <c r="N179" s="249">
        <f>N184+N186+N189</f>
        <v>5991.6</v>
      </c>
    </row>
    <row r="180" spans="1:15" x14ac:dyDescent="0.25">
      <c r="A180" s="98"/>
      <c r="F180" s="151"/>
      <c r="G180" s="151"/>
      <c r="H180" s="151"/>
      <c r="I180" s="151"/>
      <c r="J180" s="151"/>
      <c r="K180" s="155"/>
      <c r="L180" s="151"/>
      <c r="M180" s="151"/>
      <c r="N180" s="151"/>
    </row>
    <row r="181" spans="1:15" x14ac:dyDescent="0.25">
      <c r="A181" s="97">
        <v>3</v>
      </c>
      <c r="B181" s="63" t="s">
        <v>198</v>
      </c>
      <c r="C181" s="63"/>
      <c r="D181" s="63"/>
      <c r="E181" s="63"/>
      <c r="F181" s="79">
        <f>F182+F187</f>
        <v>998.6</v>
      </c>
      <c r="G181" s="79">
        <f>G182+G187</f>
        <v>11990</v>
      </c>
      <c r="H181" s="79">
        <f>H182+H187</f>
        <v>-5988</v>
      </c>
      <c r="I181" s="79">
        <f>G181+H181</f>
        <v>6002</v>
      </c>
      <c r="J181" s="79"/>
      <c r="K181" s="155">
        <f>I181+J181</f>
        <v>6002</v>
      </c>
      <c r="L181" s="79"/>
      <c r="M181" s="79"/>
      <c r="N181" s="79"/>
    </row>
    <row r="182" spans="1:15" x14ac:dyDescent="0.25">
      <c r="A182" s="97">
        <v>31</v>
      </c>
      <c r="B182" s="63" t="s">
        <v>252</v>
      </c>
      <c r="C182" s="63"/>
      <c r="D182" s="63"/>
      <c r="E182" s="63"/>
      <c r="F182" s="79">
        <f>F183+F185</f>
        <v>978.6</v>
      </c>
      <c r="G182" s="79">
        <f>G183+G185</f>
        <v>11750</v>
      </c>
      <c r="H182" s="79">
        <f>H183+H185</f>
        <v>-5868</v>
      </c>
      <c r="I182" s="79">
        <f t="shared" ref="I182:I189" si="32">G182+H182</f>
        <v>5882</v>
      </c>
      <c r="J182" s="79"/>
      <c r="K182" s="155">
        <f t="shared" ref="K182:K189" si="33">I182+J182</f>
        <v>5882</v>
      </c>
      <c r="L182" s="79"/>
      <c r="M182" s="79"/>
      <c r="N182" s="79"/>
      <c r="O182" s="7" t="s">
        <v>713</v>
      </c>
    </row>
    <row r="183" spans="1:15" x14ac:dyDescent="0.25">
      <c r="A183" s="97">
        <v>311</v>
      </c>
      <c r="B183" s="63" t="s">
        <v>208</v>
      </c>
      <c r="C183" s="63"/>
      <c r="D183" s="63"/>
      <c r="E183" s="63"/>
      <c r="F183" s="79">
        <f>F184</f>
        <v>840</v>
      </c>
      <c r="G183" s="79">
        <f>G184</f>
        <v>10080</v>
      </c>
      <c r="H183" s="79">
        <f>H184</f>
        <v>-5030</v>
      </c>
      <c r="I183" s="79">
        <f t="shared" si="32"/>
        <v>5050</v>
      </c>
      <c r="J183" s="79"/>
      <c r="K183" s="155">
        <f t="shared" si="33"/>
        <v>5050</v>
      </c>
      <c r="L183" s="79"/>
      <c r="M183" s="79"/>
      <c r="N183" s="79"/>
    </row>
    <row r="184" spans="1:15" x14ac:dyDescent="0.25">
      <c r="A184" s="98">
        <v>3111</v>
      </c>
      <c r="B184" s="62" t="s">
        <v>253</v>
      </c>
      <c r="F184" s="81">
        <f>677.2+29.3+133.5</f>
        <v>840</v>
      </c>
      <c r="G184" s="81">
        <f>840*12</f>
        <v>10080</v>
      </c>
      <c r="H184" s="81">
        <v>-5030</v>
      </c>
      <c r="I184" s="73">
        <f t="shared" si="32"/>
        <v>5050</v>
      </c>
      <c r="J184" s="73"/>
      <c r="K184" s="154">
        <f t="shared" si="33"/>
        <v>5050</v>
      </c>
      <c r="L184" s="73"/>
      <c r="M184" s="73"/>
      <c r="N184" s="73">
        <f>4063.2+175.8+801</f>
        <v>5040</v>
      </c>
      <c r="O184" s="7" t="s">
        <v>714</v>
      </c>
    </row>
    <row r="185" spans="1:15" x14ac:dyDescent="0.25">
      <c r="A185" s="97">
        <v>313</v>
      </c>
      <c r="B185" s="63" t="s">
        <v>169</v>
      </c>
      <c r="C185" s="63"/>
      <c r="D185" s="63"/>
      <c r="E185" s="63"/>
      <c r="F185" s="114">
        <f>F186</f>
        <v>138.6</v>
      </c>
      <c r="G185" s="114">
        <f>G186</f>
        <v>1670</v>
      </c>
      <c r="H185" s="114">
        <f>H186</f>
        <v>-838</v>
      </c>
      <c r="I185" s="79">
        <f t="shared" si="32"/>
        <v>832</v>
      </c>
      <c r="J185" s="79"/>
      <c r="K185" s="155">
        <f t="shared" si="33"/>
        <v>832</v>
      </c>
      <c r="L185" s="79"/>
      <c r="M185" s="79"/>
      <c r="N185" s="79"/>
    </row>
    <row r="186" spans="1:15" x14ac:dyDescent="0.25">
      <c r="A186" s="98">
        <v>3132</v>
      </c>
      <c r="B186" t="s">
        <v>188</v>
      </c>
      <c r="F186" s="153">
        <v>138.6</v>
      </c>
      <c r="G186" s="153">
        <v>1670</v>
      </c>
      <c r="H186" s="153">
        <v>-838</v>
      </c>
      <c r="I186" s="73">
        <f t="shared" si="32"/>
        <v>832</v>
      </c>
      <c r="J186" s="73"/>
      <c r="K186" s="154">
        <f t="shared" si="33"/>
        <v>832</v>
      </c>
      <c r="L186" s="73"/>
      <c r="M186" s="73"/>
      <c r="N186" s="73">
        <v>831.6</v>
      </c>
    </row>
    <row r="187" spans="1:15" x14ac:dyDescent="0.25">
      <c r="A187" s="148">
        <v>32</v>
      </c>
      <c r="B187" s="63" t="s">
        <v>170</v>
      </c>
      <c r="F187" s="196">
        <f t="shared" ref="F187:H188" si="34">F188</f>
        <v>20</v>
      </c>
      <c r="G187" s="196">
        <f t="shared" si="34"/>
        <v>240</v>
      </c>
      <c r="H187" s="196">
        <f t="shared" si="34"/>
        <v>-120</v>
      </c>
      <c r="I187" s="79">
        <f t="shared" si="32"/>
        <v>120</v>
      </c>
      <c r="J187" s="79"/>
      <c r="K187" s="155">
        <f t="shared" si="33"/>
        <v>120</v>
      </c>
      <c r="L187" s="79"/>
      <c r="M187" s="79"/>
      <c r="N187" s="79"/>
    </row>
    <row r="188" spans="1:15" x14ac:dyDescent="0.25">
      <c r="A188" s="148">
        <v>321</v>
      </c>
      <c r="B188" s="63" t="s">
        <v>171</v>
      </c>
      <c r="F188" s="196">
        <f t="shared" si="34"/>
        <v>20</v>
      </c>
      <c r="G188" s="196">
        <f t="shared" si="34"/>
        <v>240</v>
      </c>
      <c r="H188" s="196">
        <f t="shared" si="34"/>
        <v>-120</v>
      </c>
      <c r="I188" s="79">
        <f t="shared" si="32"/>
        <v>120</v>
      </c>
      <c r="J188" s="79"/>
      <c r="K188" s="155">
        <f t="shared" si="33"/>
        <v>120</v>
      </c>
      <c r="L188" s="79"/>
      <c r="M188" s="79"/>
      <c r="N188" s="79"/>
    </row>
    <row r="189" spans="1:15" x14ac:dyDescent="0.25">
      <c r="A189" s="98">
        <v>3212</v>
      </c>
      <c r="B189" s="62" t="s">
        <v>479</v>
      </c>
      <c r="F189" s="7">
        <v>20</v>
      </c>
      <c r="G189" s="7">
        <f>20*12</f>
        <v>240</v>
      </c>
      <c r="H189" s="7">
        <v>-120</v>
      </c>
      <c r="I189" s="73">
        <f t="shared" si="32"/>
        <v>120</v>
      </c>
      <c r="J189" s="73"/>
      <c r="K189" s="154">
        <f t="shared" si="33"/>
        <v>120</v>
      </c>
      <c r="L189" s="73"/>
      <c r="M189" s="73"/>
      <c r="N189" s="73">
        <v>120</v>
      </c>
      <c r="O189" s="7" t="s">
        <v>715</v>
      </c>
    </row>
    <row r="190" spans="1:15" x14ac:dyDescent="0.25">
      <c r="A190" s="98"/>
      <c r="B190" s="62"/>
      <c r="K190" s="155"/>
    </row>
    <row r="191" spans="1:15" x14ac:dyDescent="0.25">
      <c r="A191" s="90" t="s">
        <v>254</v>
      </c>
      <c r="B191" s="90"/>
      <c r="C191" s="90"/>
      <c r="D191" s="90"/>
      <c r="E191" s="90"/>
      <c r="F191" s="116">
        <f>F192+F205</f>
        <v>1327.25</v>
      </c>
      <c r="G191" s="116">
        <f>G192+G205</f>
        <v>28192</v>
      </c>
      <c r="H191" s="116">
        <f t="shared" ref="H191:K191" si="35">H192+H205</f>
        <v>0</v>
      </c>
      <c r="I191" s="116">
        <f t="shared" si="35"/>
        <v>28192</v>
      </c>
      <c r="J191" s="116">
        <f t="shared" si="35"/>
        <v>0</v>
      </c>
      <c r="K191" s="116">
        <f t="shared" si="35"/>
        <v>28192</v>
      </c>
      <c r="L191" s="365"/>
      <c r="M191" s="365"/>
      <c r="N191" s="365"/>
    </row>
    <row r="192" spans="1:15" x14ac:dyDescent="0.25">
      <c r="A192" s="77" t="s">
        <v>80</v>
      </c>
      <c r="B192" s="77"/>
      <c r="C192" s="77"/>
      <c r="D192" s="77"/>
      <c r="E192" s="77"/>
      <c r="F192" s="78">
        <f>F194</f>
        <v>1327.25</v>
      </c>
      <c r="G192" s="78">
        <f>G194</f>
        <v>23192</v>
      </c>
      <c r="H192" s="78">
        <f>H194</f>
        <v>0</v>
      </c>
      <c r="I192" s="78">
        <f t="shared" ref="I192:K192" si="36">I195</f>
        <v>23192</v>
      </c>
      <c r="J192" s="78">
        <f t="shared" si="36"/>
        <v>0</v>
      </c>
      <c r="K192" s="78">
        <f t="shared" si="36"/>
        <v>23192</v>
      </c>
      <c r="L192" s="363"/>
      <c r="M192" s="363"/>
      <c r="N192" s="363"/>
    </row>
    <row r="193" spans="1:17" x14ac:dyDescent="0.25">
      <c r="A193" s="168" t="s">
        <v>390</v>
      </c>
      <c r="B193" s="168"/>
      <c r="C193" s="168"/>
      <c r="D193" s="168"/>
      <c r="E193" s="168"/>
      <c r="F193" s="104"/>
      <c r="G193" s="104"/>
      <c r="H193" s="250"/>
      <c r="I193" s="250"/>
      <c r="J193" s="250"/>
      <c r="K193" s="155"/>
      <c r="L193" s="250"/>
      <c r="M193" s="250"/>
      <c r="N193" s="250"/>
    </row>
    <row r="194" spans="1:17" x14ac:dyDescent="0.25">
      <c r="A194" s="105" t="s">
        <v>116</v>
      </c>
      <c r="B194" s="105"/>
      <c r="C194" s="105"/>
      <c r="D194" s="105"/>
      <c r="E194" s="105"/>
      <c r="F194" s="707">
        <f>F197</f>
        <v>1327.25</v>
      </c>
      <c r="G194" s="707">
        <f>G197</f>
        <v>23192</v>
      </c>
      <c r="H194" s="725">
        <f>H197</f>
        <v>0</v>
      </c>
      <c r="I194" s="251"/>
      <c r="J194" s="251"/>
      <c r="K194" s="197"/>
      <c r="L194" s="251"/>
      <c r="M194" s="251"/>
      <c r="N194" s="251"/>
    </row>
    <row r="195" spans="1:17" x14ac:dyDescent="0.25">
      <c r="A195" s="718" t="s">
        <v>81</v>
      </c>
      <c r="B195" s="719"/>
      <c r="C195" s="719"/>
      <c r="D195" s="719"/>
      <c r="E195" s="720"/>
      <c r="F195" s="708"/>
      <c r="G195" s="708"/>
      <c r="H195" s="724"/>
      <c r="I195" s="251">
        <f>G194+H194</f>
        <v>23192</v>
      </c>
      <c r="J195" s="251"/>
      <c r="K195" s="197">
        <f>I195+J195</f>
        <v>23192</v>
      </c>
      <c r="L195" s="251"/>
      <c r="M195" s="251"/>
      <c r="N195" s="251">
        <f>N200+N203</f>
        <v>6768.19</v>
      </c>
    </row>
    <row r="196" spans="1:17" x14ac:dyDescent="0.25">
      <c r="A196" s="95"/>
      <c r="B196" s="60"/>
      <c r="C196" s="60"/>
      <c r="D196" s="60"/>
      <c r="E196" s="60"/>
      <c r="K196" s="155"/>
    </row>
    <row r="197" spans="1:17" x14ac:dyDescent="0.25">
      <c r="A197" s="97">
        <v>3</v>
      </c>
      <c r="B197" s="63" t="s">
        <v>19</v>
      </c>
      <c r="C197" s="63"/>
      <c r="D197" s="63"/>
      <c r="E197" s="63"/>
      <c r="F197" s="79">
        <f>F201+F199</f>
        <v>1327.25</v>
      </c>
      <c r="G197" s="79">
        <f>G201+G199</f>
        <v>23192</v>
      </c>
      <c r="H197" s="79">
        <f>H201+H199</f>
        <v>0</v>
      </c>
      <c r="I197" s="79">
        <f>G197+H197</f>
        <v>23192</v>
      </c>
      <c r="J197" s="79"/>
      <c r="K197" s="155">
        <f t="shared" ref="K197:K212" si="37">I197+J197</f>
        <v>23192</v>
      </c>
      <c r="L197" s="79"/>
      <c r="M197" s="79"/>
      <c r="N197" s="79"/>
    </row>
    <row r="198" spans="1:17" x14ac:dyDescent="0.25">
      <c r="A198" s="97">
        <v>35</v>
      </c>
      <c r="B198" s="63" t="s">
        <v>176</v>
      </c>
      <c r="C198" s="63"/>
      <c r="D198" s="63"/>
      <c r="E198" s="63"/>
      <c r="F198" s="79">
        <f t="shared" ref="F198:H199" si="38">F199</f>
        <v>0</v>
      </c>
      <c r="G198" s="79">
        <f t="shared" si="38"/>
        <v>20000</v>
      </c>
      <c r="H198" s="79">
        <f t="shared" si="38"/>
        <v>0</v>
      </c>
      <c r="I198" s="79">
        <f t="shared" ref="I198:I203" si="39">G198+H198</f>
        <v>20000</v>
      </c>
      <c r="J198" s="79"/>
      <c r="K198" s="155">
        <f t="shared" si="37"/>
        <v>20000</v>
      </c>
      <c r="L198" s="79"/>
      <c r="M198" s="79"/>
      <c r="N198" s="79"/>
    </row>
    <row r="199" spans="1:17" x14ac:dyDescent="0.25">
      <c r="A199" s="97">
        <v>352</v>
      </c>
      <c r="B199" s="63" t="s">
        <v>255</v>
      </c>
      <c r="C199" s="63"/>
      <c r="D199" s="63"/>
      <c r="E199" s="63"/>
      <c r="F199" s="79">
        <f t="shared" si="38"/>
        <v>0</v>
      </c>
      <c r="G199" s="79">
        <f t="shared" si="38"/>
        <v>20000</v>
      </c>
      <c r="H199" s="79">
        <f t="shared" si="38"/>
        <v>0</v>
      </c>
      <c r="I199" s="79">
        <f t="shared" si="39"/>
        <v>20000</v>
      </c>
      <c r="J199" s="79"/>
      <c r="K199" s="155">
        <f t="shared" si="37"/>
        <v>20000</v>
      </c>
      <c r="L199" s="79"/>
      <c r="M199" s="79"/>
      <c r="N199" s="79"/>
    </row>
    <row r="200" spans="1:17" x14ac:dyDescent="0.25">
      <c r="A200" s="98">
        <v>3523</v>
      </c>
      <c r="B200" t="s">
        <v>256</v>
      </c>
      <c r="F200" s="73"/>
      <c r="G200" s="73">
        <v>20000</v>
      </c>
      <c r="H200" s="73"/>
      <c r="I200" s="73">
        <f t="shared" si="39"/>
        <v>20000</v>
      </c>
      <c r="J200" s="73"/>
      <c r="K200" s="154">
        <f t="shared" si="37"/>
        <v>20000</v>
      </c>
      <c r="L200" s="73"/>
      <c r="M200" s="73"/>
      <c r="N200" s="73">
        <f>153.24+3395+300</f>
        <v>3848.24</v>
      </c>
      <c r="O200" s="7" t="s">
        <v>543</v>
      </c>
      <c r="P200" s="7" t="s">
        <v>542</v>
      </c>
      <c r="Q200" s="7" t="s">
        <v>541</v>
      </c>
    </row>
    <row r="201" spans="1:17" x14ac:dyDescent="0.25">
      <c r="A201" s="97">
        <v>36</v>
      </c>
      <c r="B201" s="63" t="s">
        <v>257</v>
      </c>
      <c r="C201" s="63"/>
      <c r="D201" s="63"/>
      <c r="E201" s="63"/>
      <c r="F201" s="79">
        <f t="shared" ref="F201:H202" si="40">F202</f>
        <v>1327.25</v>
      </c>
      <c r="G201" s="79">
        <f t="shared" si="40"/>
        <v>3192</v>
      </c>
      <c r="H201" s="79">
        <f t="shared" si="40"/>
        <v>0</v>
      </c>
      <c r="I201" s="79">
        <f t="shared" si="39"/>
        <v>3192</v>
      </c>
      <c r="J201" s="79"/>
      <c r="K201" s="155">
        <f t="shared" si="37"/>
        <v>3192</v>
      </c>
      <c r="L201" s="79"/>
      <c r="M201" s="79"/>
      <c r="N201" s="79"/>
    </row>
    <row r="202" spans="1:17" x14ac:dyDescent="0.25">
      <c r="A202" s="97">
        <v>363</v>
      </c>
      <c r="B202" s="63" t="s">
        <v>257</v>
      </c>
      <c r="C202" s="63"/>
      <c r="D202" s="63"/>
      <c r="E202" s="63"/>
      <c r="F202" s="79">
        <f t="shared" si="40"/>
        <v>1327.25</v>
      </c>
      <c r="G202" s="79">
        <f t="shared" si="40"/>
        <v>3192</v>
      </c>
      <c r="H202" s="79">
        <f t="shared" si="40"/>
        <v>0</v>
      </c>
      <c r="I202" s="79">
        <f t="shared" si="39"/>
        <v>3192</v>
      </c>
      <c r="J202" s="79"/>
      <c r="K202" s="155">
        <f t="shared" si="37"/>
        <v>3192</v>
      </c>
      <c r="L202" s="79"/>
      <c r="M202" s="79"/>
      <c r="N202" s="79"/>
    </row>
    <row r="203" spans="1:17" x14ac:dyDescent="0.25">
      <c r="A203" s="98">
        <v>3631</v>
      </c>
      <c r="B203" s="62" t="s">
        <v>258</v>
      </c>
      <c r="F203" s="73">
        <v>1327.25</v>
      </c>
      <c r="G203" s="73">
        <f>266*12</f>
        <v>3192</v>
      </c>
      <c r="H203" s="73"/>
      <c r="I203" s="73">
        <f t="shared" si="39"/>
        <v>3192</v>
      </c>
      <c r="J203" s="73"/>
      <c r="K203" s="154">
        <f t="shared" si="37"/>
        <v>3192</v>
      </c>
      <c r="L203" s="73"/>
      <c r="M203" s="73"/>
      <c r="N203" s="73">
        <v>2919.95</v>
      </c>
      <c r="O203" s="7" t="s">
        <v>503</v>
      </c>
    </row>
    <row r="204" spans="1:17" x14ac:dyDescent="0.25">
      <c r="A204" s="98"/>
      <c r="B204" s="62"/>
      <c r="F204" s="73"/>
      <c r="G204" s="73"/>
      <c r="H204" s="73"/>
      <c r="I204" s="73"/>
      <c r="J204" s="73"/>
      <c r="K204" s="155"/>
      <c r="L204" s="73"/>
      <c r="M204" s="73"/>
      <c r="N204" s="73"/>
    </row>
    <row r="205" spans="1:17" x14ac:dyDescent="0.25">
      <c r="A205" s="77" t="s">
        <v>82</v>
      </c>
      <c r="B205" s="77"/>
      <c r="C205" s="77"/>
      <c r="D205" s="77"/>
      <c r="E205" s="77"/>
      <c r="F205" s="78">
        <f>F207</f>
        <v>0</v>
      </c>
      <c r="G205" s="78">
        <f>G207</f>
        <v>5000</v>
      </c>
      <c r="H205" s="78">
        <f t="shared" ref="H205:I205" si="41">H207</f>
        <v>0</v>
      </c>
      <c r="I205" s="78">
        <f t="shared" si="41"/>
        <v>5000</v>
      </c>
      <c r="J205" s="363"/>
      <c r="K205" s="367">
        <f t="shared" si="37"/>
        <v>5000</v>
      </c>
      <c r="L205" s="363"/>
      <c r="M205" s="363"/>
      <c r="N205" s="363"/>
    </row>
    <row r="206" spans="1:17" x14ac:dyDescent="0.25">
      <c r="A206" s="101" t="s">
        <v>391</v>
      </c>
      <c r="B206" s="101"/>
      <c r="C206" s="101"/>
      <c r="D206" s="101"/>
      <c r="E206" s="101"/>
      <c r="F206" s="104"/>
      <c r="G206" s="104"/>
      <c r="H206" s="250"/>
      <c r="I206" s="250"/>
      <c r="J206" s="250"/>
      <c r="K206" s="155">
        <f t="shared" si="37"/>
        <v>0</v>
      </c>
      <c r="L206" s="250"/>
      <c r="M206" s="250"/>
      <c r="N206" s="250"/>
    </row>
    <row r="207" spans="1:17" x14ac:dyDescent="0.25">
      <c r="A207" s="102" t="s">
        <v>117</v>
      </c>
      <c r="B207" s="102"/>
      <c r="C207" s="102"/>
      <c r="D207" s="102"/>
      <c r="E207" s="102"/>
      <c r="F207" s="94">
        <f>F209</f>
        <v>0</v>
      </c>
      <c r="G207" s="94">
        <f>G209</f>
        <v>5000</v>
      </c>
      <c r="H207" s="94">
        <f>H209</f>
        <v>0</v>
      </c>
      <c r="I207" s="249">
        <f>G207+H207</f>
        <v>5000</v>
      </c>
      <c r="J207" s="249"/>
      <c r="K207" s="197">
        <f t="shared" si="37"/>
        <v>5000</v>
      </c>
      <c r="L207" s="249"/>
      <c r="M207" s="249"/>
      <c r="N207" s="249"/>
    </row>
    <row r="208" spans="1:17" x14ac:dyDescent="0.25">
      <c r="A208" s="100"/>
      <c r="B208" s="62"/>
      <c r="F208" s="73"/>
      <c r="G208" s="73"/>
      <c r="H208" s="73"/>
      <c r="I208" s="73"/>
      <c r="J208" s="73"/>
      <c r="K208" s="155"/>
      <c r="L208" s="73"/>
      <c r="M208" s="73"/>
      <c r="N208" s="73"/>
    </row>
    <row r="209" spans="1:20" x14ac:dyDescent="0.25">
      <c r="A209" s="97">
        <v>3</v>
      </c>
      <c r="B209" s="63" t="s">
        <v>19</v>
      </c>
      <c r="C209" s="63"/>
      <c r="D209" s="63"/>
      <c r="E209" s="63"/>
      <c r="F209" s="79">
        <f t="shared" ref="F209:H211" si="42">F210</f>
        <v>0</v>
      </c>
      <c r="G209" s="79">
        <f t="shared" si="42"/>
        <v>5000</v>
      </c>
      <c r="H209" s="79">
        <f t="shared" si="42"/>
        <v>0</v>
      </c>
      <c r="I209" s="79">
        <f>G209+H209</f>
        <v>5000</v>
      </c>
      <c r="J209" s="79"/>
      <c r="K209" s="155">
        <f>I209+J209</f>
        <v>5000</v>
      </c>
      <c r="L209" s="79"/>
      <c r="M209" s="79"/>
      <c r="N209" s="79"/>
    </row>
    <row r="210" spans="1:20" x14ac:dyDescent="0.25">
      <c r="A210" s="97">
        <v>35</v>
      </c>
      <c r="B210" s="63" t="s">
        <v>176</v>
      </c>
      <c r="C210" s="63"/>
      <c r="D210" s="63"/>
      <c r="E210" s="63"/>
      <c r="F210" s="79">
        <f t="shared" si="42"/>
        <v>0</v>
      </c>
      <c r="G210" s="79">
        <f t="shared" si="42"/>
        <v>5000</v>
      </c>
      <c r="H210" s="79">
        <f t="shared" si="42"/>
        <v>0</v>
      </c>
      <c r="I210" s="79">
        <f t="shared" ref="I210:I212" si="43">G210+H210</f>
        <v>5000</v>
      </c>
      <c r="J210" s="79"/>
      <c r="K210" s="155">
        <f t="shared" si="37"/>
        <v>5000</v>
      </c>
      <c r="L210" s="79"/>
      <c r="M210" s="79"/>
      <c r="N210" s="79"/>
    </row>
    <row r="211" spans="1:20" x14ac:dyDescent="0.25">
      <c r="A211" s="97">
        <v>352</v>
      </c>
      <c r="B211" s="63" t="s">
        <v>259</v>
      </c>
      <c r="C211" s="63"/>
      <c r="D211" s="63"/>
      <c r="E211" s="63"/>
      <c r="F211" s="79">
        <f t="shared" si="42"/>
        <v>0</v>
      </c>
      <c r="G211" s="79">
        <f t="shared" si="42"/>
        <v>5000</v>
      </c>
      <c r="H211" s="79">
        <f t="shared" si="42"/>
        <v>0</v>
      </c>
      <c r="I211" s="79">
        <f t="shared" si="43"/>
        <v>5000</v>
      </c>
      <c r="J211" s="79"/>
      <c r="K211" s="155">
        <f t="shared" si="37"/>
        <v>5000</v>
      </c>
      <c r="L211" s="79"/>
      <c r="M211" s="79"/>
      <c r="N211" s="79"/>
    </row>
    <row r="212" spans="1:20" x14ac:dyDescent="0.25">
      <c r="A212" s="98">
        <v>3523</v>
      </c>
      <c r="B212" s="62" t="s">
        <v>398</v>
      </c>
      <c r="F212" s="73"/>
      <c r="G212" s="73">
        <v>5000</v>
      </c>
      <c r="H212" s="73"/>
      <c r="I212" s="73">
        <f t="shared" si="43"/>
        <v>5000</v>
      </c>
      <c r="J212" s="73"/>
      <c r="K212" s="154">
        <f t="shared" si="37"/>
        <v>5000</v>
      </c>
      <c r="L212" s="73">
        <v>-3000</v>
      </c>
      <c r="M212" s="73"/>
      <c r="N212" s="73"/>
    </row>
    <row r="213" spans="1:20" x14ac:dyDescent="0.25">
      <c r="A213" s="98"/>
      <c r="B213" s="62"/>
      <c r="F213" s="65"/>
      <c r="G213" s="65"/>
      <c r="H213" s="65"/>
      <c r="I213" s="65"/>
      <c r="J213" s="65"/>
      <c r="K213" s="155"/>
      <c r="L213" s="65"/>
      <c r="M213" s="65"/>
      <c r="N213" s="65"/>
    </row>
    <row r="214" spans="1:20" x14ac:dyDescent="0.25">
      <c r="A214" s="117" t="s">
        <v>260</v>
      </c>
      <c r="B214" s="117"/>
      <c r="C214" s="117"/>
      <c r="D214" s="117"/>
      <c r="E214" s="117"/>
      <c r="F214" s="714">
        <f t="shared" ref="F214:K214" si="44">F216+F291+F348+F359+F399+F415+F471</f>
        <v>247563.34</v>
      </c>
      <c r="G214" s="714">
        <f t="shared" si="44"/>
        <v>1023640</v>
      </c>
      <c r="H214" s="714">
        <f t="shared" si="44"/>
        <v>73500</v>
      </c>
      <c r="I214" s="714">
        <f t="shared" si="44"/>
        <v>1097140</v>
      </c>
      <c r="J214" s="714">
        <f t="shared" si="44"/>
        <v>22100</v>
      </c>
      <c r="K214" s="714">
        <f t="shared" si="44"/>
        <v>1119240</v>
      </c>
      <c r="L214" s="366"/>
      <c r="M214" s="366"/>
      <c r="N214" s="366"/>
    </row>
    <row r="215" spans="1:20" x14ac:dyDescent="0.25">
      <c r="A215" s="704" t="s">
        <v>261</v>
      </c>
      <c r="B215" s="705"/>
      <c r="C215" s="705"/>
      <c r="D215" s="705"/>
      <c r="E215" s="706"/>
      <c r="F215" s="714"/>
      <c r="G215" s="714"/>
      <c r="H215" s="714"/>
      <c r="I215" s="714"/>
      <c r="J215" s="714"/>
      <c r="K215" s="714"/>
      <c r="L215" s="366"/>
      <c r="M215" s="366"/>
      <c r="N215" s="366"/>
    </row>
    <row r="216" spans="1:20" x14ac:dyDescent="0.25">
      <c r="A216" s="77" t="s">
        <v>262</v>
      </c>
      <c r="B216" s="77"/>
      <c r="C216" s="77"/>
      <c r="D216" s="77"/>
      <c r="E216" s="77"/>
      <c r="F216" s="78">
        <f>F218+F227+F235+F251+F261+F272+F282</f>
        <v>49174.159999999996</v>
      </c>
      <c r="G216" s="78">
        <f>G218+G227+G235+G251+G261+G272+G282</f>
        <v>233300</v>
      </c>
      <c r="H216" s="78">
        <f>H218+H227+H235+H251+H261+H272+H282</f>
        <v>19600</v>
      </c>
      <c r="I216" s="78">
        <f>I227+I235+I251+I261+I272+I282+I218</f>
        <v>252900</v>
      </c>
      <c r="J216" s="78">
        <f t="shared" ref="J216:K216" si="45">J227+J235+J251+J261+J272+J282+J218</f>
        <v>-91000</v>
      </c>
      <c r="K216" s="78">
        <f t="shared" si="45"/>
        <v>161900</v>
      </c>
      <c r="L216" s="363"/>
      <c r="M216" s="363"/>
      <c r="N216" s="363"/>
    </row>
    <row r="217" spans="1:20" ht="15" customHeight="1" x14ac:dyDescent="0.25">
      <c r="A217" s="176" t="s">
        <v>447</v>
      </c>
      <c r="B217" s="181"/>
      <c r="C217" s="181"/>
      <c r="D217" s="181"/>
      <c r="E217" s="180"/>
      <c r="F217" s="180"/>
      <c r="G217" s="180"/>
      <c r="H217" s="180"/>
      <c r="I217" s="180"/>
      <c r="J217" s="180"/>
      <c r="K217" s="155"/>
      <c r="L217" s="180"/>
      <c r="M217" s="180"/>
      <c r="N217" s="180"/>
      <c r="O217" s="180"/>
    </row>
    <row r="218" spans="1:20" x14ac:dyDescent="0.25">
      <c r="A218" s="105" t="s">
        <v>392</v>
      </c>
      <c r="B218" s="105"/>
      <c r="C218" s="105"/>
      <c r="D218" s="105"/>
      <c r="E218" s="105"/>
      <c r="F218" s="707">
        <f>F221</f>
        <v>9445.8799999999992</v>
      </c>
      <c r="G218" s="707">
        <f>G221</f>
        <v>163000</v>
      </c>
      <c r="H218" s="707">
        <f>H221</f>
        <v>17000</v>
      </c>
      <c r="I218" s="723">
        <f>I221</f>
        <v>180000</v>
      </c>
      <c r="J218" s="788">
        <f>J221</f>
        <v>-98000</v>
      </c>
      <c r="K218" s="735">
        <f>I218+J218</f>
        <v>82000</v>
      </c>
      <c r="L218" s="788"/>
      <c r="M218" s="788"/>
      <c r="N218" s="359"/>
    </row>
    <row r="219" spans="1:20" x14ac:dyDescent="0.25">
      <c r="A219" s="718"/>
      <c r="B219" s="719"/>
      <c r="C219" s="719"/>
      <c r="D219" s="719"/>
      <c r="E219" s="720"/>
      <c r="F219" s="708"/>
      <c r="G219" s="708"/>
      <c r="H219" s="708"/>
      <c r="I219" s="725"/>
      <c r="J219" s="741"/>
      <c r="K219" s="735"/>
      <c r="L219" s="741"/>
      <c r="M219" s="741"/>
      <c r="N219" s="359">
        <f>N224</f>
        <v>78058.850000000006</v>
      </c>
      <c r="O219" s="7" t="s">
        <v>821</v>
      </c>
      <c r="P219" s="7" t="s">
        <v>765</v>
      </c>
    </row>
    <row r="220" spans="1:20" x14ac:dyDescent="0.25">
      <c r="A220" s="98"/>
      <c r="K220" s="155"/>
      <c r="O220" s="7">
        <v>12000</v>
      </c>
      <c r="P220" s="7">
        <v>15000</v>
      </c>
      <c r="Q220" t="s">
        <v>612</v>
      </c>
    </row>
    <row r="221" spans="1:20" x14ac:dyDescent="0.25">
      <c r="A221" s="97">
        <v>3</v>
      </c>
      <c r="B221" s="63" t="s">
        <v>198</v>
      </c>
      <c r="C221" s="63"/>
      <c r="D221" s="63"/>
      <c r="E221" s="63"/>
      <c r="F221" s="79">
        <f t="shared" ref="F221:H223" si="46">F222</f>
        <v>9445.8799999999992</v>
      </c>
      <c r="G221" s="79">
        <f t="shared" si="46"/>
        <v>163000</v>
      </c>
      <c r="H221" s="79">
        <f t="shared" si="46"/>
        <v>17000</v>
      </c>
      <c r="I221" s="79">
        <f>G221+H221</f>
        <v>180000</v>
      </c>
      <c r="J221" s="79">
        <f>J222</f>
        <v>-98000</v>
      </c>
      <c r="K221" s="155">
        <f t="shared" ref="K221:K224" si="47">I220+J221</f>
        <v>-98000</v>
      </c>
      <c r="L221" s="79"/>
      <c r="M221" s="79"/>
      <c r="N221" s="79"/>
      <c r="O221" s="7">
        <v>3000</v>
      </c>
      <c r="P221" s="7">
        <v>2000</v>
      </c>
      <c r="Q221" t="s">
        <v>579</v>
      </c>
    </row>
    <row r="222" spans="1:20" x14ac:dyDescent="0.25">
      <c r="A222" s="97">
        <v>32</v>
      </c>
      <c r="B222" s="63" t="s">
        <v>170</v>
      </c>
      <c r="C222" s="63"/>
      <c r="D222" s="63"/>
      <c r="E222" s="63"/>
      <c r="F222" s="79">
        <f t="shared" si="46"/>
        <v>9445.8799999999992</v>
      </c>
      <c r="G222" s="79">
        <f t="shared" si="46"/>
        <v>163000</v>
      </c>
      <c r="H222" s="79">
        <f t="shared" si="46"/>
        <v>17000</v>
      </c>
      <c r="I222" s="79">
        <f t="shared" ref="I222:I224" si="48">G222+H222</f>
        <v>180000</v>
      </c>
      <c r="J222" s="79">
        <f>J223</f>
        <v>-98000</v>
      </c>
      <c r="K222" s="155">
        <f t="shared" si="47"/>
        <v>82000</v>
      </c>
      <c r="L222" s="79"/>
      <c r="M222" s="79"/>
      <c r="N222" s="79"/>
      <c r="O222" s="150">
        <v>4000</v>
      </c>
      <c r="P222" s="150">
        <v>3000</v>
      </c>
      <c r="Q222" t="s">
        <v>578</v>
      </c>
    </row>
    <row r="223" spans="1:20" x14ac:dyDescent="0.25">
      <c r="A223" s="97">
        <v>323</v>
      </c>
      <c r="B223" s="63" t="s">
        <v>173</v>
      </c>
      <c r="C223" s="63"/>
      <c r="D223" s="63"/>
      <c r="E223" s="63"/>
      <c r="F223" s="79">
        <f t="shared" si="46"/>
        <v>9445.8799999999992</v>
      </c>
      <c r="G223" s="79">
        <f t="shared" si="46"/>
        <v>163000</v>
      </c>
      <c r="H223" s="79">
        <f t="shared" si="46"/>
        <v>17000</v>
      </c>
      <c r="I223" s="79">
        <f t="shared" si="48"/>
        <v>180000</v>
      </c>
      <c r="J223" s="79">
        <f>J224</f>
        <v>-98000</v>
      </c>
      <c r="K223" s="155">
        <f t="shared" si="47"/>
        <v>82000</v>
      </c>
      <c r="L223" s="79"/>
      <c r="M223" s="79"/>
      <c r="N223" s="79"/>
      <c r="O223" s="7">
        <v>60000</v>
      </c>
      <c r="P223" s="7">
        <v>60000</v>
      </c>
      <c r="Q223" t="s">
        <v>611</v>
      </c>
    </row>
    <row r="224" spans="1:20" x14ac:dyDescent="0.25">
      <c r="A224" s="118">
        <v>3232</v>
      </c>
      <c r="B224" s="798" t="s">
        <v>393</v>
      </c>
      <c r="C224" s="798"/>
      <c r="D224" s="798"/>
      <c r="E224" s="798"/>
      <c r="F224" s="154">
        <v>9445.8799999999992</v>
      </c>
      <c r="G224" s="154">
        <f>12000+3000+3000+55000+90000</f>
        <v>163000</v>
      </c>
      <c r="H224" s="154">
        <f>22000-5000</f>
        <v>17000</v>
      </c>
      <c r="I224" s="73">
        <f t="shared" si="48"/>
        <v>180000</v>
      </c>
      <c r="J224" s="250">
        <v>-98000</v>
      </c>
      <c r="K224" s="154">
        <f t="shared" si="47"/>
        <v>82000</v>
      </c>
      <c r="L224" s="73"/>
      <c r="M224" s="73"/>
      <c r="N224" s="73">
        <f>3000+75058.85</f>
        <v>78058.850000000006</v>
      </c>
      <c r="P224" s="7">
        <v>100000</v>
      </c>
      <c r="Q224" t="s">
        <v>613</v>
      </c>
      <c r="R224" s="7" t="s">
        <v>573</v>
      </c>
      <c r="T224" s="7" t="s">
        <v>574</v>
      </c>
    </row>
    <row r="225" spans="1:21" x14ac:dyDescent="0.25">
      <c r="A225" s="118"/>
      <c r="B225" s="165"/>
      <c r="C225" s="165"/>
      <c r="D225" s="165"/>
      <c r="E225" s="165"/>
      <c r="F225" s="154"/>
      <c r="G225" s="154"/>
      <c r="H225" s="154"/>
      <c r="I225" s="154"/>
      <c r="J225" s="154"/>
      <c r="K225" s="155"/>
      <c r="L225" s="154"/>
      <c r="M225" s="154"/>
      <c r="N225" s="154"/>
      <c r="Q225"/>
    </row>
    <row r="226" spans="1:21" ht="15" customHeight="1" x14ac:dyDescent="0.25">
      <c r="A226" s="176" t="s">
        <v>456</v>
      </c>
      <c r="B226" s="181"/>
      <c r="C226" s="181"/>
      <c r="D226" s="181"/>
      <c r="E226" s="180"/>
      <c r="F226" s="180"/>
      <c r="G226" s="180"/>
      <c r="H226" s="180"/>
      <c r="I226" s="180"/>
      <c r="J226" s="180"/>
      <c r="K226" s="155"/>
      <c r="L226" s="180"/>
      <c r="M226" s="180"/>
      <c r="N226" s="180"/>
      <c r="O226" s="180"/>
      <c r="Q226" t="s">
        <v>480</v>
      </c>
    </row>
    <row r="227" spans="1:21" s="145" customFormat="1" x14ac:dyDescent="0.25">
      <c r="A227" s="269" t="s">
        <v>731</v>
      </c>
      <c r="B227" s="270"/>
      <c r="C227" s="270"/>
      <c r="D227" s="270"/>
      <c r="E227" s="270"/>
      <c r="F227" s="197">
        <f>F229</f>
        <v>656.25</v>
      </c>
      <c r="G227" s="197">
        <f>G229</f>
        <v>3000</v>
      </c>
      <c r="H227" s="197">
        <f>H229</f>
        <v>0</v>
      </c>
      <c r="I227" s="197">
        <f>G227+H227</f>
        <v>3000</v>
      </c>
      <c r="J227" s="197"/>
      <c r="K227" s="197">
        <f>I227+J227</f>
        <v>3000</v>
      </c>
      <c r="L227" s="197"/>
      <c r="M227" s="197"/>
      <c r="N227" s="197">
        <f>N232</f>
        <v>656.25</v>
      </c>
      <c r="O227" s="190"/>
      <c r="P227" s="190"/>
      <c r="Q227" s="190"/>
      <c r="R227" s="63"/>
      <c r="S227" s="190"/>
      <c r="T227" s="190"/>
      <c r="U227" s="190"/>
    </row>
    <row r="228" spans="1:21" x14ac:dyDescent="0.25">
      <c r="A228" s="100"/>
      <c r="B228" s="194"/>
      <c r="C228" s="194"/>
      <c r="D228" s="194"/>
      <c r="E228" s="194"/>
      <c r="F228" s="154"/>
      <c r="G228" s="154"/>
      <c r="H228" s="154"/>
      <c r="I228" s="154"/>
      <c r="J228" s="154"/>
      <c r="K228" s="155"/>
      <c r="L228" s="154"/>
      <c r="M228" s="154"/>
      <c r="N228" s="154"/>
      <c r="R228" s="63"/>
    </row>
    <row r="229" spans="1:21" x14ac:dyDescent="0.25">
      <c r="A229" s="97">
        <v>3</v>
      </c>
      <c r="B229" s="63" t="s">
        <v>198</v>
      </c>
      <c r="C229" s="63"/>
      <c r="D229" s="63"/>
      <c r="E229" s="194"/>
      <c r="F229" s="155">
        <f t="shared" ref="F229:H231" si="49">F230</f>
        <v>656.25</v>
      </c>
      <c r="G229" s="155">
        <f t="shared" si="49"/>
        <v>3000</v>
      </c>
      <c r="H229" s="155">
        <f t="shared" si="49"/>
        <v>0</v>
      </c>
      <c r="I229" s="155">
        <f>G229+H229</f>
        <v>3000</v>
      </c>
      <c r="J229" s="155"/>
      <c r="K229" s="155">
        <f t="shared" ref="K229:K232" si="50">I229+J229</f>
        <v>3000</v>
      </c>
      <c r="L229" s="155"/>
      <c r="M229" s="155"/>
      <c r="N229" s="155"/>
    </row>
    <row r="230" spans="1:21" x14ac:dyDescent="0.25">
      <c r="A230" s="97">
        <v>32</v>
      </c>
      <c r="B230" s="63" t="s">
        <v>170</v>
      </c>
      <c r="C230" s="63"/>
      <c r="D230" s="63"/>
      <c r="E230" s="194"/>
      <c r="F230" s="155">
        <f t="shared" si="49"/>
        <v>656.25</v>
      </c>
      <c r="G230" s="155">
        <f t="shared" si="49"/>
        <v>3000</v>
      </c>
      <c r="H230" s="155">
        <f t="shared" si="49"/>
        <v>0</v>
      </c>
      <c r="I230" s="155">
        <f t="shared" ref="I230:I232" si="51">G230+H230</f>
        <v>3000</v>
      </c>
      <c r="J230" s="155"/>
      <c r="K230" s="155">
        <f t="shared" si="50"/>
        <v>3000</v>
      </c>
      <c r="L230" s="155"/>
      <c r="M230" s="155"/>
      <c r="N230" s="155"/>
    </row>
    <row r="231" spans="1:21" x14ac:dyDescent="0.25">
      <c r="A231" s="97">
        <v>323</v>
      </c>
      <c r="B231" s="63" t="s">
        <v>173</v>
      </c>
      <c r="C231" s="63"/>
      <c r="D231" s="63"/>
      <c r="E231" s="165"/>
      <c r="F231" s="155">
        <f t="shared" si="49"/>
        <v>656.25</v>
      </c>
      <c r="G231" s="155">
        <f t="shared" si="49"/>
        <v>3000</v>
      </c>
      <c r="H231" s="155">
        <f t="shared" si="49"/>
        <v>0</v>
      </c>
      <c r="I231" s="155">
        <f t="shared" si="51"/>
        <v>3000</v>
      </c>
      <c r="J231" s="155"/>
      <c r="K231" s="155">
        <f t="shared" si="50"/>
        <v>3000</v>
      </c>
      <c r="L231" s="155"/>
      <c r="M231" s="155"/>
      <c r="N231" s="155"/>
    </row>
    <row r="232" spans="1:21" x14ac:dyDescent="0.25">
      <c r="A232" s="118" t="s">
        <v>605</v>
      </c>
      <c r="B232" s="165"/>
      <c r="C232" s="165"/>
      <c r="D232" s="165"/>
      <c r="E232" s="165"/>
      <c r="F232" s="154">
        <v>656.25</v>
      </c>
      <c r="G232" s="154">
        <v>3000</v>
      </c>
      <c r="H232" s="154"/>
      <c r="I232" s="154">
        <f t="shared" si="51"/>
        <v>3000</v>
      </c>
      <c r="J232" s="154"/>
      <c r="K232" s="154">
        <f t="shared" si="50"/>
        <v>3000</v>
      </c>
      <c r="L232" s="154"/>
      <c r="M232" s="154"/>
      <c r="N232" s="154">
        <v>656.25</v>
      </c>
    </row>
    <row r="233" spans="1:21" x14ac:dyDescent="0.25">
      <c r="A233" s="118"/>
      <c r="B233" s="165"/>
      <c r="C233" s="165"/>
      <c r="D233" s="165"/>
      <c r="E233" s="165"/>
      <c r="F233" s="154"/>
      <c r="G233" s="154"/>
      <c r="H233" s="154"/>
      <c r="I233" s="154"/>
      <c r="J233" s="154"/>
      <c r="K233" s="155"/>
      <c r="L233" s="154"/>
      <c r="M233" s="154"/>
      <c r="N233" s="154"/>
    </row>
    <row r="234" spans="1:21" ht="15" customHeight="1" x14ac:dyDescent="0.25">
      <c r="A234" s="176" t="s">
        <v>447</v>
      </c>
      <c r="B234" s="181"/>
      <c r="C234" s="181"/>
      <c r="D234" s="181"/>
      <c r="E234" s="180"/>
      <c r="F234" s="180"/>
      <c r="G234" s="180"/>
      <c r="H234" s="180"/>
      <c r="I234" s="180"/>
      <c r="J234" s="180"/>
      <c r="K234" s="155"/>
      <c r="L234" s="180"/>
      <c r="M234" s="180"/>
      <c r="N234" s="180"/>
      <c r="O234" s="180"/>
    </row>
    <row r="235" spans="1:21" s="272" customFormat="1" x14ac:dyDescent="0.25">
      <c r="A235" s="269" t="s">
        <v>734</v>
      </c>
      <c r="B235" s="270"/>
      <c r="C235" s="270"/>
      <c r="D235" s="270"/>
      <c r="E235" s="270"/>
      <c r="F235" s="197">
        <f>F237</f>
        <v>22451.73</v>
      </c>
      <c r="G235" s="197">
        <f>G237</f>
        <v>31500</v>
      </c>
      <c r="H235" s="197">
        <f>H237</f>
        <v>3600</v>
      </c>
      <c r="I235" s="197">
        <f>G235+H235</f>
        <v>35100</v>
      </c>
      <c r="J235" s="197">
        <f>J239</f>
        <v>4000</v>
      </c>
      <c r="K235" s="197">
        <f>I235+J235</f>
        <v>39100</v>
      </c>
      <c r="L235" s="197"/>
      <c r="M235" s="197"/>
      <c r="N235" s="197">
        <f>SUM(N236:N249)</f>
        <v>32065.91</v>
      </c>
      <c r="O235" s="271"/>
      <c r="P235" s="271"/>
      <c r="Q235" s="271"/>
      <c r="R235" s="271"/>
      <c r="S235" s="271"/>
      <c r="T235" s="271"/>
      <c r="U235" s="271"/>
    </row>
    <row r="236" spans="1:21" x14ac:dyDescent="0.25">
      <c r="A236" s="100"/>
      <c r="B236" s="194"/>
      <c r="C236" s="194"/>
      <c r="D236" s="194"/>
      <c r="E236" s="194"/>
      <c r="F236" s="154"/>
      <c r="G236" s="154"/>
      <c r="H236" s="154"/>
      <c r="I236" s="154"/>
      <c r="J236" s="154"/>
      <c r="K236" s="155"/>
      <c r="L236" s="154"/>
      <c r="M236" s="154"/>
      <c r="N236" s="154"/>
    </row>
    <row r="237" spans="1:21" x14ac:dyDescent="0.25">
      <c r="A237" s="97">
        <v>3</v>
      </c>
      <c r="B237" s="63" t="s">
        <v>198</v>
      </c>
      <c r="C237" s="194"/>
      <c r="D237" s="194"/>
      <c r="E237" s="194"/>
      <c r="F237" s="155">
        <f>F238</f>
        <v>22451.73</v>
      </c>
      <c r="G237" s="155">
        <f>G238</f>
        <v>31500</v>
      </c>
      <c r="H237" s="155">
        <f>H238</f>
        <v>3600</v>
      </c>
      <c r="I237" s="155">
        <f>G237+H237</f>
        <v>35100</v>
      </c>
      <c r="J237" s="155"/>
      <c r="K237" s="155">
        <f t="shared" ref="K237:K248" si="52">I237+J237</f>
        <v>35100</v>
      </c>
      <c r="L237" s="155"/>
      <c r="M237" s="155"/>
      <c r="N237" s="155"/>
    </row>
    <row r="238" spans="1:21" x14ac:dyDescent="0.25">
      <c r="A238" s="97">
        <v>32</v>
      </c>
      <c r="B238" s="749" t="s">
        <v>170</v>
      </c>
      <c r="C238" s="749"/>
      <c r="D238" s="749"/>
      <c r="E238" s="749"/>
      <c r="F238" s="155">
        <f>F239+F245</f>
        <v>22451.73</v>
      </c>
      <c r="G238" s="155">
        <f>G239+G245</f>
        <v>31500</v>
      </c>
      <c r="H238" s="155">
        <f>H239+H245</f>
        <v>3600</v>
      </c>
      <c r="I238" s="155">
        <f t="shared" ref="I238:I248" si="53">G238+H238</f>
        <v>35100</v>
      </c>
      <c r="J238" s="155"/>
      <c r="K238" s="155">
        <f t="shared" si="52"/>
        <v>35100</v>
      </c>
      <c r="L238" s="155"/>
      <c r="M238" s="155"/>
      <c r="N238" s="155"/>
    </row>
    <row r="239" spans="1:21" x14ac:dyDescent="0.25">
      <c r="A239" s="97">
        <v>322</v>
      </c>
      <c r="B239" s="61" t="s">
        <v>265</v>
      </c>
      <c r="C239" s="194"/>
      <c r="D239" s="194"/>
      <c r="E239" s="194"/>
      <c r="F239" s="155">
        <f>F240+F241+F242+F244+F243</f>
        <v>6831.5199999999995</v>
      </c>
      <c r="G239" s="155">
        <f>G240+G241+G242+G244+G243</f>
        <v>11500</v>
      </c>
      <c r="H239" s="155">
        <f>H240+H241+H242+H244+H243</f>
        <v>3600</v>
      </c>
      <c r="I239" s="155">
        <f>G239+H239</f>
        <v>15100</v>
      </c>
      <c r="J239" s="155">
        <f>J240+J241</f>
        <v>4000</v>
      </c>
      <c r="K239" s="155">
        <f t="shared" si="52"/>
        <v>19100</v>
      </c>
      <c r="L239" s="155"/>
      <c r="M239" s="155"/>
      <c r="N239" s="155"/>
    </row>
    <row r="240" spans="1:21" x14ac:dyDescent="0.25">
      <c r="A240" s="118" t="s">
        <v>601</v>
      </c>
      <c r="B240" s="165"/>
      <c r="C240" s="165"/>
      <c r="D240" s="165"/>
      <c r="E240" s="165"/>
      <c r="F240" s="154">
        <v>1940.83</v>
      </c>
      <c r="G240" s="154">
        <v>5000</v>
      </c>
      <c r="H240" s="154"/>
      <c r="I240" s="154">
        <f t="shared" si="53"/>
        <v>5000</v>
      </c>
      <c r="J240" s="387">
        <v>1000</v>
      </c>
      <c r="K240" s="154">
        <f t="shared" si="52"/>
        <v>6000</v>
      </c>
      <c r="L240" s="154"/>
      <c r="M240" s="154"/>
      <c r="N240" s="154">
        <v>4425.3900000000003</v>
      </c>
    </row>
    <row r="241" spans="1:15" x14ac:dyDescent="0.25">
      <c r="A241" s="118" t="s">
        <v>602</v>
      </c>
      <c r="B241" s="165"/>
      <c r="C241" s="165"/>
      <c r="D241" s="165"/>
      <c r="E241" s="165"/>
      <c r="F241" s="154">
        <v>2287.66</v>
      </c>
      <c r="G241" s="154">
        <v>5000</v>
      </c>
      <c r="H241" s="154"/>
      <c r="I241" s="154">
        <f t="shared" si="53"/>
        <v>5000</v>
      </c>
      <c r="J241" s="387">
        <v>3000</v>
      </c>
      <c r="K241" s="154">
        <f t="shared" si="52"/>
        <v>8000</v>
      </c>
      <c r="L241" s="154"/>
      <c r="M241" s="154"/>
      <c r="N241" s="154">
        <v>6222.9</v>
      </c>
    </row>
    <row r="242" spans="1:15" x14ac:dyDescent="0.25">
      <c r="A242" s="118" t="s">
        <v>603</v>
      </c>
      <c r="B242" s="165"/>
      <c r="C242" s="165"/>
      <c r="D242" s="165"/>
      <c r="E242" s="165"/>
      <c r="F242" s="154">
        <v>66.3</v>
      </c>
      <c r="G242" s="154">
        <v>500</v>
      </c>
      <c r="H242" s="154"/>
      <c r="I242" s="154">
        <f>G242+H242</f>
        <v>500</v>
      </c>
      <c r="J242" s="154"/>
      <c r="K242" s="154">
        <f t="shared" si="52"/>
        <v>500</v>
      </c>
      <c r="L242" s="154"/>
      <c r="M242" s="154"/>
      <c r="N242" s="154">
        <v>67.66</v>
      </c>
    </row>
    <row r="243" spans="1:15" x14ac:dyDescent="0.25">
      <c r="A243" s="118">
        <v>3224</v>
      </c>
      <c r="B243" s="798" t="s">
        <v>735</v>
      </c>
      <c r="C243" s="798"/>
      <c r="D243" s="798"/>
      <c r="E243" s="798"/>
      <c r="F243" s="154">
        <f>961.6+73.11</f>
        <v>1034.71</v>
      </c>
      <c r="G243" s="154"/>
      <c r="H243" s="154">
        <v>3000</v>
      </c>
      <c r="I243" s="154">
        <f>G243+H243</f>
        <v>3000</v>
      </c>
      <c r="J243" s="154"/>
      <c r="K243" s="154">
        <f t="shared" si="52"/>
        <v>3000</v>
      </c>
      <c r="L243" s="154"/>
      <c r="M243" s="154"/>
      <c r="N243" s="154">
        <f>1718.36+18.2+140.28+1458.75+310.41</f>
        <v>3646</v>
      </c>
    </row>
    <row r="244" spans="1:15" x14ac:dyDescent="0.25">
      <c r="A244" s="118" t="s">
        <v>604</v>
      </c>
      <c r="B244" s="165"/>
      <c r="C244" s="165"/>
      <c r="D244" s="165"/>
      <c r="E244" s="165"/>
      <c r="F244" s="154">
        <v>1502.02</v>
      </c>
      <c r="G244" s="154">
        <v>1000</v>
      </c>
      <c r="H244" s="154">
        <v>600</v>
      </c>
      <c r="I244" s="154">
        <f t="shared" si="53"/>
        <v>1600</v>
      </c>
      <c r="J244" s="154"/>
      <c r="K244" s="154">
        <f t="shared" si="52"/>
        <v>1600</v>
      </c>
      <c r="L244" s="154"/>
      <c r="M244" s="154"/>
      <c r="N244" s="154"/>
    </row>
    <row r="245" spans="1:15" x14ac:dyDescent="0.25">
      <c r="A245" s="97">
        <v>323</v>
      </c>
      <c r="B245" s="63" t="s">
        <v>173</v>
      </c>
      <c r="C245" s="165"/>
      <c r="D245" s="165"/>
      <c r="E245" s="165"/>
      <c r="F245" s="155">
        <f>F246+F247+F248</f>
        <v>15620.21</v>
      </c>
      <c r="G245" s="155">
        <f>G246+G247+G248</f>
        <v>20000</v>
      </c>
      <c r="H245" s="155">
        <f>H246+H247+H248</f>
        <v>0</v>
      </c>
      <c r="I245" s="155">
        <f t="shared" si="53"/>
        <v>20000</v>
      </c>
      <c r="J245" s="155"/>
      <c r="K245" s="155">
        <f t="shared" si="52"/>
        <v>20000</v>
      </c>
      <c r="L245" s="155"/>
      <c r="M245" s="155"/>
      <c r="N245" s="155"/>
    </row>
    <row r="246" spans="1:15" x14ac:dyDescent="0.25">
      <c r="A246" s="118" t="s">
        <v>598</v>
      </c>
      <c r="B246" s="165"/>
      <c r="C246" s="165"/>
      <c r="D246" s="165"/>
      <c r="E246" s="165"/>
      <c r="F246" s="154">
        <v>1146.3</v>
      </c>
      <c r="G246" s="154">
        <v>5000</v>
      </c>
      <c r="H246" s="154">
        <v>-1000</v>
      </c>
      <c r="I246" s="154">
        <f t="shared" si="53"/>
        <v>4000</v>
      </c>
      <c r="J246" s="387"/>
      <c r="K246" s="154">
        <f t="shared" si="52"/>
        <v>4000</v>
      </c>
      <c r="L246" s="154">
        <v>-1000</v>
      </c>
      <c r="M246" s="154"/>
      <c r="N246" s="154">
        <v>1686.3</v>
      </c>
    </row>
    <row r="247" spans="1:15" x14ac:dyDescent="0.25">
      <c r="A247" s="100" t="s">
        <v>599</v>
      </c>
      <c r="B247" s="62"/>
      <c r="C247" s="62"/>
      <c r="D247" s="62"/>
      <c r="E247" s="62"/>
      <c r="F247" s="154">
        <v>50.69</v>
      </c>
      <c r="G247" s="154">
        <v>1000</v>
      </c>
      <c r="H247" s="154"/>
      <c r="I247" s="154">
        <f t="shared" si="53"/>
        <v>1000</v>
      </c>
      <c r="J247" s="387"/>
      <c r="K247" s="154">
        <f t="shared" si="52"/>
        <v>1000</v>
      </c>
      <c r="L247" s="154">
        <v>-900</v>
      </c>
      <c r="M247" s="154"/>
      <c r="N247" s="154">
        <v>50.69</v>
      </c>
    </row>
    <row r="248" spans="1:15" x14ac:dyDescent="0.25">
      <c r="A248" s="100" t="s">
        <v>600</v>
      </c>
      <c r="B248" s="62"/>
      <c r="C248" s="62"/>
      <c r="D248" s="62"/>
      <c r="E248" s="62"/>
      <c r="F248" s="154">
        <f>1885.72+12537.5</f>
        <v>14423.22</v>
      </c>
      <c r="G248" s="154">
        <f>15000-1000</f>
        <v>14000</v>
      </c>
      <c r="H248" s="154">
        <v>1000</v>
      </c>
      <c r="I248" s="154">
        <f t="shared" si="53"/>
        <v>15000</v>
      </c>
      <c r="J248" s="387"/>
      <c r="K248" s="154">
        <f t="shared" si="52"/>
        <v>15000</v>
      </c>
      <c r="L248" s="154">
        <v>2000</v>
      </c>
      <c r="M248" s="154"/>
      <c r="N248" s="154">
        <f>1885.72+14081.25</f>
        <v>15966.97</v>
      </c>
    </row>
    <row r="249" spans="1:15" x14ac:dyDescent="0.25">
      <c r="A249" s="100"/>
      <c r="B249" s="62"/>
      <c r="C249" s="62"/>
      <c r="D249" s="62"/>
      <c r="E249" s="62"/>
      <c r="F249" s="154"/>
      <c r="G249" s="154"/>
      <c r="H249" s="154"/>
      <c r="I249" s="154"/>
      <c r="J249" s="154"/>
      <c r="K249" s="155"/>
      <c r="L249" s="154"/>
      <c r="M249" s="154"/>
      <c r="N249" s="154"/>
    </row>
    <row r="250" spans="1:15" ht="15" customHeight="1" x14ac:dyDescent="0.25">
      <c r="A250" s="176" t="s">
        <v>447</v>
      </c>
      <c r="B250" s="181"/>
      <c r="C250" s="181"/>
      <c r="D250" s="181"/>
      <c r="E250" s="180"/>
      <c r="F250" s="180"/>
      <c r="G250" s="180"/>
      <c r="H250" s="180"/>
      <c r="I250" s="180"/>
      <c r="J250" s="180"/>
      <c r="K250" s="155"/>
      <c r="L250" s="180"/>
      <c r="M250" s="180"/>
      <c r="N250" s="180"/>
      <c r="O250" s="180"/>
    </row>
    <row r="251" spans="1:15" x14ac:dyDescent="0.25">
      <c r="A251" s="269" t="s">
        <v>736</v>
      </c>
      <c r="B251" s="273"/>
      <c r="C251" s="273"/>
      <c r="D251" s="273"/>
      <c r="E251" s="273"/>
      <c r="F251" s="197">
        <f>F253</f>
        <v>1077.81</v>
      </c>
      <c r="G251" s="197">
        <f>G253</f>
        <v>1000</v>
      </c>
      <c r="H251" s="197">
        <f>H253</f>
        <v>1000</v>
      </c>
      <c r="I251" s="197">
        <f>G251+H251</f>
        <v>2000</v>
      </c>
      <c r="J251" s="197"/>
      <c r="K251" s="197">
        <f>I251+J251</f>
        <v>2000</v>
      </c>
      <c r="L251" s="197"/>
      <c r="M251" s="197"/>
      <c r="N251" s="197">
        <f>N256+N258</f>
        <v>1107.3500000000001</v>
      </c>
    </row>
    <row r="252" spans="1:15" x14ac:dyDescent="0.25">
      <c r="A252" s="100"/>
      <c r="B252" s="62"/>
      <c r="C252" s="62"/>
      <c r="D252" s="62"/>
      <c r="E252" s="62"/>
      <c r="F252" s="154"/>
      <c r="G252" s="154"/>
      <c r="H252" s="154"/>
      <c r="I252" s="154"/>
      <c r="J252" s="154"/>
      <c r="K252" s="155"/>
      <c r="L252" s="154"/>
      <c r="M252" s="154"/>
      <c r="N252" s="154"/>
    </row>
    <row r="253" spans="1:15" x14ac:dyDescent="0.25">
      <c r="A253" s="97">
        <v>3</v>
      </c>
      <c r="B253" s="63" t="s">
        <v>198</v>
      </c>
      <c r="C253" s="63"/>
      <c r="D253" s="63"/>
      <c r="E253" s="63"/>
      <c r="F253" s="155">
        <f>F254</f>
        <v>1077.81</v>
      </c>
      <c r="G253" s="155">
        <f>G254</f>
        <v>1000</v>
      </c>
      <c r="H253" s="155">
        <f>H254</f>
        <v>1000</v>
      </c>
      <c r="I253" s="155">
        <f>G253+H253</f>
        <v>2000</v>
      </c>
      <c r="J253" s="155"/>
      <c r="K253" s="155">
        <f t="shared" ref="K253:K258" si="54">I253+J253</f>
        <v>2000</v>
      </c>
      <c r="L253" s="155"/>
      <c r="M253" s="155"/>
      <c r="N253" s="155"/>
    </row>
    <row r="254" spans="1:15" x14ac:dyDescent="0.25">
      <c r="A254" s="97">
        <v>32</v>
      </c>
      <c r="B254" s="749" t="s">
        <v>170</v>
      </c>
      <c r="C254" s="749"/>
      <c r="D254" s="749"/>
      <c r="E254" s="749"/>
      <c r="F254" s="155">
        <f>F255+F257</f>
        <v>1077.81</v>
      </c>
      <c r="G254" s="155">
        <f>G255+G257</f>
        <v>1000</v>
      </c>
      <c r="H254" s="155">
        <f>H255+H257</f>
        <v>1000</v>
      </c>
      <c r="I254" s="155">
        <f t="shared" ref="I254:I258" si="55">G254+H254</f>
        <v>2000</v>
      </c>
      <c r="J254" s="155"/>
      <c r="K254" s="155">
        <f t="shared" si="54"/>
        <v>2000</v>
      </c>
      <c r="L254" s="155"/>
      <c r="M254" s="155"/>
      <c r="N254" s="155"/>
    </row>
    <row r="255" spans="1:15" x14ac:dyDescent="0.25">
      <c r="A255" s="97">
        <v>322</v>
      </c>
      <c r="B255" s="61" t="s">
        <v>265</v>
      </c>
      <c r="C255" s="61"/>
      <c r="D255" s="61"/>
      <c r="E255" s="61"/>
      <c r="F255" s="155">
        <f>F256</f>
        <v>1077.81</v>
      </c>
      <c r="G255" s="155">
        <f>G256</f>
        <v>500</v>
      </c>
      <c r="H255" s="155">
        <f>H256</f>
        <v>1000</v>
      </c>
      <c r="I255" s="155">
        <f t="shared" si="55"/>
        <v>1500</v>
      </c>
      <c r="J255" s="155"/>
      <c r="K255" s="155">
        <f t="shared" si="54"/>
        <v>1500</v>
      </c>
      <c r="L255" s="155"/>
      <c r="M255" s="155"/>
      <c r="N255" s="155"/>
    </row>
    <row r="256" spans="1:15" x14ac:dyDescent="0.25">
      <c r="A256" s="100">
        <v>322</v>
      </c>
      <c r="B256" s="100" t="s">
        <v>555</v>
      </c>
      <c r="C256" s="58"/>
      <c r="D256" s="58"/>
      <c r="E256" s="58"/>
      <c r="F256" s="154">
        <v>1077.81</v>
      </c>
      <c r="G256" s="154">
        <v>500</v>
      </c>
      <c r="H256" s="154">
        <v>1000</v>
      </c>
      <c r="I256" s="154">
        <f t="shared" si="55"/>
        <v>1500</v>
      </c>
      <c r="J256" s="154"/>
      <c r="K256" s="154">
        <f t="shared" si="54"/>
        <v>1500</v>
      </c>
      <c r="L256" s="154">
        <v>400</v>
      </c>
      <c r="M256" s="154"/>
      <c r="N256" s="154">
        <v>1076.71</v>
      </c>
    </row>
    <row r="257" spans="1:15" x14ac:dyDescent="0.25">
      <c r="A257" s="97">
        <v>323</v>
      </c>
      <c r="B257" s="61" t="s">
        <v>266</v>
      </c>
      <c r="C257" s="61"/>
      <c r="D257" s="61"/>
      <c r="E257" s="61"/>
      <c r="F257" s="155">
        <f>F258</f>
        <v>0</v>
      </c>
      <c r="G257" s="155">
        <f>G258</f>
        <v>500</v>
      </c>
      <c r="H257" s="155">
        <f>H258</f>
        <v>0</v>
      </c>
      <c r="I257" s="155">
        <f t="shared" si="55"/>
        <v>500</v>
      </c>
      <c r="J257" s="155"/>
      <c r="K257" s="155">
        <f t="shared" si="54"/>
        <v>500</v>
      </c>
      <c r="L257" s="155"/>
      <c r="M257" s="155"/>
      <c r="N257" s="155"/>
    </row>
    <row r="258" spans="1:15" x14ac:dyDescent="0.25">
      <c r="A258" s="100">
        <v>3232</v>
      </c>
      <c r="B258" s="100" t="s">
        <v>556</v>
      </c>
      <c r="C258" s="62"/>
      <c r="D258" s="62"/>
      <c r="E258" s="62"/>
      <c r="F258" s="154"/>
      <c r="G258" s="154">
        <v>500</v>
      </c>
      <c r="H258" s="154"/>
      <c r="I258" s="154">
        <f t="shared" si="55"/>
        <v>500</v>
      </c>
      <c r="J258" s="154"/>
      <c r="K258" s="154">
        <f t="shared" si="54"/>
        <v>500</v>
      </c>
      <c r="L258" s="154">
        <v>-400</v>
      </c>
      <c r="M258" s="154"/>
      <c r="N258" s="154">
        <v>30.64</v>
      </c>
    </row>
    <row r="259" spans="1:15" x14ac:dyDescent="0.25">
      <c r="A259" s="100"/>
      <c r="B259" s="62"/>
      <c r="C259" s="62"/>
      <c r="D259" s="62"/>
      <c r="E259" s="62"/>
      <c r="F259" s="154"/>
      <c r="G259" s="154"/>
      <c r="H259" s="154"/>
      <c r="I259" s="154"/>
      <c r="J259" s="154"/>
      <c r="K259" s="155"/>
      <c r="L259" s="154"/>
      <c r="M259" s="154"/>
      <c r="N259" s="154"/>
    </row>
    <row r="260" spans="1:15" ht="15" customHeight="1" x14ac:dyDescent="0.25">
      <c r="A260" s="176" t="s">
        <v>447</v>
      </c>
      <c r="B260" s="181"/>
      <c r="C260" s="181"/>
      <c r="D260" s="181"/>
      <c r="E260" s="180"/>
      <c r="F260" s="180"/>
      <c r="G260" s="180"/>
      <c r="H260" s="180"/>
      <c r="I260" s="180"/>
      <c r="J260" s="180"/>
      <c r="K260" s="155"/>
      <c r="L260" s="180"/>
      <c r="M260" s="180"/>
      <c r="N260" s="180"/>
      <c r="O260" s="180"/>
    </row>
    <row r="261" spans="1:15" x14ac:dyDescent="0.25">
      <c r="A261" s="709" t="s">
        <v>118</v>
      </c>
      <c r="B261" s="710"/>
      <c r="C261" s="710"/>
      <c r="D261" s="710"/>
      <c r="E261" s="711"/>
      <c r="F261" s="99">
        <f>F263</f>
        <v>9781.1</v>
      </c>
      <c r="G261" s="99">
        <f>G263</f>
        <v>12000</v>
      </c>
      <c r="H261" s="99">
        <f>H263</f>
        <v>0</v>
      </c>
      <c r="I261" s="152">
        <f>G261+H261</f>
        <v>12000</v>
      </c>
      <c r="J261" s="152">
        <f>J267</f>
        <v>1000</v>
      </c>
      <c r="K261" s="197">
        <f>I261+J261</f>
        <v>13000</v>
      </c>
      <c r="L261" s="152"/>
      <c r="M261" s="152"/>
      <c r="N261" s="152">
        <f>N266+N268</f>
        <v>13081.64</v>
      </c>
    </row>
    <row r="262" spans="1:15" x14ac:dyDescent="0.25">
      <c r="A262" s="100"/>
      <c r="B262" s="62"/>
      <c r="F262" s="154"/>
      <c r="G262" s="154"/>
      <c r="H262" s="154"/>
      <c r="I262" s="154"/>
      <c r="J262" s="154"/>
      <c r="K262" s="155"/>
      <c r="L262" s="154"/>
      <c r="M262" s="154"/>
      <c r="N262" s="154"/>
    </row>
    <row r="263" spans="1:15" x14ac:dyDescent="0.25">
      <c r="A263" s="97">
        <v>3</v>
      </c>
      <c r="B263" s="63" t="s">
        <v>198</v>
      </c>
      <c r="C263" s="63"/>
      <c r="D263" s="63"/>
      <c r="E263" s="63"/>
      <c r="F263" s="155">
        <f>F264</f>
        <v>9781.1</v>
      </c>
      <c r="G263" s="155">
        <f>G264</f>
        <v>12000</v>
      </c>
      <c r="H263" s="155">
        <f>H264</f>
        <v>0</v>
      </c>
      <c r="I263" s="155">
        <f>G263+H263</f>
        <v>12000</v>
      </c>
      <c r="J263" s="155"/>
      <c r="K263" s="155">
        <f t="shared" ref="K263:K269" si="56">I263+J263</f>
        <v>12000</v>
      </c>
      <c r="L263" s="155"/>
      <c r="M263" s="155"/>
      <c r="N263" s="155"/>
    </row>
    <row r="264" spans="1:15" x14ac:dyDescent="0.25">
      <c r="A264" s="97">
        <v>32</v>
      </c>
      <c r="B264" s="749" t="s">
        <v>170</v>
      </c>
      <c r="C264" s="749"/>
      <c r="D264" s="749"/>
      <c r="E264" s="749"/>
      <c r="F264" s="155">
        <f>F265+F267</f>
        <v>9781.1</v>
      </c>
      <c r="G264" s="155">
        <f>G265+G267</f>
        <v>12000</v>
      </c>
      <c r="H264" s="155">
        <f>H265+H267</f>
        <v>0</v>
      </c>
      <c r="I264" s="155">
        <f t="shared" ref="I264:I269" si="57">G264+H264</f>
        <v>12000</v>
      </c>
      <c r="J264" s="155"/>
      <c r="K264" s="155">
        <f t="shared" si="56"/>
        <v>12000</v>
      </c>
      <c r="L264" s="155"/>
      <c r="M264" s="155"/>
      <c r="N264" s="155"/>
    </row>
    <row r="265" spans="1:15" x14ac:dyDescent="0.25">
      <c r="A265" s="97">
        <v>322</v>
      </c>
      <c r="B265" s="61" t="s">
        <v>265</v>
      </c>
      <c r="C265" s="61"/>
      <c r="D265" s="61"/>
      <c r="E265" s="61"/>
      <c r="F265" s="155">
        <f>F266</f>
        <v>8993.6</v>
      </c>
      <c r="G265" s="155">
        <f>G266</f>
        <v>500</v>
      </c>
      <c r="H265" s="155">
        <f>H266</f>
        <v>9000</v>
      </c>
      <c r="I265" s="155">
        <f t="shared" si="57"/>
        <v>9500</v>
      </c>
      <c r="J265" s="155"/>
      <c r="K265" s="155">
        <f t="shared" si="56"/>
        <v>9500</v>
      </c>
      <c r="L265" s="155"/>
      <c r="M265" s="155"/>
      <c r="N265" s="155"/>
    </row>
    <row r="266" spans="1:15" x14ac:dyDescent="0.25">
      <c r="A266" s="100">
        <v>322</v>
      </c>
      <c r="B266" s="58" t="s">
        <v>356</v>
      </c>
      <c r="C266" s="58"/>
      <c r="D266" s="58"/>
      <c r="E266" s="58"/>
      <c r="F266" s="154">
        <f>47.6+8946</f>
        <v>8993.6</v>
      </c>
      <c r="G266" s="154">
        <v>500</v>
      </c>
      <c r="H266" s="154">
        <v>9000</v>
      </c>
      <c r="I266" s="154">
        <f t="shared" si="57"/>
        <v>9500</v>
      </c>
      <c r="J266" s="154"/>
      <c r="K266" s="154">
        <f t="shared" si="56"/>
        <v>9500</v>
      </c>
      <c r="L266" s="154">
        <v>200</v>
      </c>
      <c r="M266" s="154"/>
      <c r="N266" s="154">
        <f>42.05+379.18+9022.91</f>
        <v>9444.14</v>
      </c>
    </row>
    <row r="267" spans="1:15" x14ac:dyDescent="0.25">
      <c r="A267" s="97">
        <v>323</v>
      </c>
      <c r="B267" s="61" t="s">
        <v>266</v>
      </c>
      <c r="C267" s="61"/>
      <c r="D267" s="61"/>
      <c r="E267" s="61"/>
      <c r="F267" s="155">
        <f>F268+F269</f>
        <v>787.5</v>
      </c>
      <c r="G267" s="155">
        <f>G268+G269</f>
        <v>11500</v>
      </c>
      <c r="H267" s="155">
        <f>H268+H269</f>
        <v>-9000</v>
      </c>
      <c r="I267" s="155">
        <f t="shared" si="57"/>
        <v>2500</v>
      </c>
      <c r="J267" s="155">
        <f>J268</f>
        <v>1000</v>
      </c>
      <c r="K267" s="155">
        <f t="shared" si="56"/>
        <v>3500</v>
      </c>
      <c r="L267" s="155"/>
      <c r="M267" s="155"/>
      <c r="N267" s="155"/>
    </row>
    <row r="268" spans="1:15" x14ac:dyDescent="0.25">
      <c r="A268" s="100">
        <v>3234</v>
      </c>
      <c r="B268" s="62" t="s">
        <v>264</v>
      </c>
      <c r="F268" s="154">
        <v>787.5</v>
      </c>
      <c r="G268" s="154">
        <v>2500</v>
      </c>
      <c r="H268" s="154"/>
      <c r="I268" s="154">
        <f t="shared" si="57"/>
        <v>2500</v>
      </c>
      <c r="J268" s="154">
        <v>1000</v>
      </c>
      <c r="K268" s="154">
        <f t="shared" si="56"/>
        <v>3500</v>
      </c>
      <c r="L268" s="154">
        <v>500</v>
      </c>
      <c r="M268" s="154"/>
      <c r="N268" s="154">
        <v>3637.5</v>
      </c>
    </row>
    <row r="269" spans="1:15" x14ac:dyDescent="0.25">
      <c r="A269" s="797" t="s">
        <v>597</v>
      </c>
      <c r="B269" s="713"/>
      <c r="C269" s="713"/>
      <c r="D269" s="713"/>
      <c r="E269" s="713"/>
      <c r="F269" s="154"/>
      <c r="G269" s="154">
        <f>10000-1000</f>
        <v>9000</v>
      </c>
      <c r="H269" s="154">
        <v>-9000</v>
      </c>
      <c r="I269" s="154">
        <f t="shared" si="57"/>
        <v>0</v>
      </c>
      <c r="J269" s="154"/>
      <c r="K269" s="154">
        <f t="shared" si="56"/>
        <v>0</v>
      </c>
      <c r="L269" s="154"/>
      <c r="M269" s="154"/>
      <c r="N269" s="154"/>
      <c r="O269" s="7" t="s">
        <v>572</v>
      </c>
    </row>
    <row r="270" spans="1:15" x14ac:dyDescent="0.25">
      <c r="A270" s="119"/>
      <c r="B270" s="107"/>
      <c r="C270" s="107"/>
      <c r="D270" s="107"/>
      <c r="E270" s="107"/>
      <c r="F270" s="154"/>
      <c r="G270" s="154"/>
      <c r="H270" s="154"/>
      <c r="I270" s="154"/>
      <c r="J270" s="154"/>
      <c r="K270" s="155"/>
      <c r="L270" s="154"/>
      <c r="M270" s="154"/>
      <c r="N270" s="154"/>
    </row>
    <row r="271" spans="1:15" ht="15" customHeight="1" x14ac:dyDescent="0.25">
      <c r="A271" s="176" t="s">
        <v>447</v>
      </c>
      <c r="B271" s="181"/>
      <c r="C271" s="181"/>
      <c r="D271" s="181"/>
      <c r="E271" s="180"/>
      <c r="F271" s="180"/>
      <c r="G271" s="180"/>
      <c r="H271" s="180"/>
      <c r="I271" s="180"/>
      <c r="J271" s="180"/>
      <c r="K271" s="155"/>
      <c r="L271" s="180"/>
      <c r="M271" s="180"/>
      <c r="N271" s="180"/>
      <c r="O271" s="180"/>
    </row>
    <row r="272" spans="1:15" x14ac:dyDescent="0.25">
      <c r="A272" s="794" t="s">
        <v>119</v>
      </c>
      <c r="B272" s="795"/>
      <c r="C272" s="795"/>
      <c r="D272" s="795"/>
      <c r="E272" s="796"/>
      <c r="F272" s="120">
        <f>F274</f>
        <v>85</v>
      </c>
      <c r="G272" s="120">
        <f>G274</f>
        <v>800</v>
      </c>
      <c r="H272" s="120">
        <f>H274</f>
        <v>0</v>
      </c>
      <c r="I272" s="197">
        <f>G272+H272</f>
        <v>800</v>
      </c>
      <c r="J272" s="197"/>
      <c r="K272" s="197">
        <f>I272+J272</f>
        <v>800</v>
      </c>
      <c r="L272" s="197"/>
      <c r="M272" s="197"/>
      <c r="N272" s="197">
        <f>N277</f>
        <v>85</v>
      </c>
    </row>
    <row r="273" spans="1:16" x14ac:dyDescent="0.25">
      <c r="A273" s="100"/>
      <c r="B273" s="62"/>
      <c r="F273" s="154"/>
      <c r="G273" s="154"/>
      <c r="H273" s="154"/>
      <c r="I273" s="154"/>
      <c r="J273" s="154"/>
      <c r="K273" s="155"/>
      <c r="L273" s="154"/>
      <c r="M273" s="154"/>
      <c r="N273" s="154"/>
    </row>
    <row r="274" spans="1:16" x14ac:dyDescent="0.25">
      <c r="A274" s="97">
        <v>3</v>
      </c>
      <c r="B274" s="63" t="s">
        <v>198</v>
      </c>
      <c r="C274" s="63"/>
      <c r="D274" s="63"/>
      <c r="E274" s="63"/>
      <c r="F274" s="155">
        <f>F275</f>
        <v>85</v>
      </c>
      <c r="G274" s="155">
        <f>G275</f>
        <v>800</v>
      </c>
      <c r="H274" s="155">
        <f>H275</f>
        <v>0</v>
      </c>
      <c r="I274" s="155">
        <f>G274+H274</f>
        <v>800</v>
      </c>
      <c r="J274" s="155"/>
      <c r="K274" s="155">
        <f t="shared" ref="K274:K289" si="58">I274+J274</f>
        <v>800</v>
      </c>
      <c r="L274" s="155"/>
      <c r="M274" s="155"/>
      <c r="N274" s="155"/>
    </row>
    <row r="275" spans="1:16" x14ac:dyDescent="0.25">
      <c r="A275" s="121">
        <v>32</v>
      </c>
      <c r="B275" s="781" t="s">
        <v>170</v>
      </c>
      <c r="C275" s="781"/>
      <c r="D275" s="781"/>
      <c r="E275" s="781"/>
      <c r="F275" s="155">
        <f>F276+F278</f>
        <v>85</v>
      </c>
      <c r="G275" s="155">
        <f>G276+G278</f>
        <v>800</v>
      </c>
      <c r="H275" s="155">
        <f>H276+H278</f>
        <v>0</v>
      </c>
      <c r="I275" s="155">
        <f t="shared" ref="I275:I279" si="59">G275+H275</f>
        <v>800</v>
      </c>
      <c r="J275" s="155"/>
      <c r="K275" s="155">
        <f t="shared" si="58"/>
        <v>800</v>
      </c>
      <c r="L275" s="155"/>
      <c r="M275" s="155"/>
      <c r="N275" s="155"/>
    </row>
    <row r="276" spans="1:16" x14ac:dyDescent="0.25">
      <c r="A276" s="97">
        <v>322</v>
      </c>
      <c r="B276" s="61" t="s">
        <v>265</v>
      </c>
      <c r="C276" s="108"/>
      <c r="D276" s="108"/>
      <c r="E276" s="108"/>
      <c r="F276" s="155">
        <f>F277</f>
        <v>85</v>
      </c>
      <c r="G276" s="155">
        <f>G277</f>
        <v>100</v>
      </c>
      <c r="H276" s="155">
        <f>H277</f>
        <v>0</v>
      </c>
      <c r="I276" s="155">
        <f t="shared" si="59"/>
        <v>100</v>
      </c>
      <c r="J276" s="155"/>
      <c r="K276" s="155">
        <f t="shared" si="58"/>
        <v>100</v>
      </c>
      <c r="L276" s="155"/>
      <c r="M276" s="155"/>
      <c r="N276" s="155"/>
    </row>
    <row r="277" spans="1:16" x14ac:dyDescent="0.25">
      <c r="A277" s="100">
        <v>322</v>
      </c>
      <c r="B277" s="58" t="s">
        <v>356</v>
      </c>
      <c r="C277" s="108"/>
      <c r="D277" s="108"/>
      <c r="E277" s="108"/>
      <c r="F277" s="154">
        <v>85</v>
      </c>
      <c r="G277" s="154">
        <v>100</v>
      </c>
      <c r="H277" s="154"/>
      <c r="I277" s="154">
        <f t="shared" si="59"/>
        <v>100</v>
      </c>
      <c r="J277" s="154"/>
      <c r="K277" s="154">
        <f t="shared" si="58"/>
        <v>100</v>
      </c>
      <c r="L277" s="154"/>
      <c r="M277" s="154"/>
      <c r="N277" s="154">
        <v>85</v>
      </c>
    </row>
    <row r="278" spans="1:16" x14ac:dyDescent="0.25">
      <c r="A278" s="121">
        <v>323</v>
      </c>
      <c r="B278" s="108" t="s">
        <v>266</v>
      </c>
      <c r="C278" s="108"/>
      <c r="D278" s="108"/>
      <c r="E278" s="108"/>
      <c r="F278" s="155">
        <f>F279</f>
        <v>0</v>
      </c>
      <c r="G278" s="155">
        <f>G279</f>
        <v>700</v>
      </c>
      <c r="H278" s="155">
        <f>H279</f>
        <v>0</v>
      </c>
      <c r="I278" s="155">
        <f t="shared" si="59"/>
        <v>700</v>
      </c>
      <c r="J278" s="155"/>
      <c r="K278" s="155">
        <f t="shared" si="58"/>
        <v>700</v>
      </c>
      <c r="L278" s="155"/>
      <c r="M278" s="155"/>
      <c r="N278" s="155"/>
    </row>
    <row r="279" spans="1:16" x14ac:dyDescent="0.25">
      <c r="A279" s="100">
        <v>3232</v>
      </c>
      <c r="B279" s="700" t="s">
        <v>268</v>
      </c>
      <c r="C279" s="700"/>
      <c r="D279" s="700"/>
      <c r="E279" s="700"/>
      <c r="F279" s="154"/>
      <c r="G279" s="154">
        <v>700</v>
      </c>
      <c r="H279" s="154"/>
      <c r="I279" s="154">
        <f t="shared" si="59"/>
        <v>700</v>
      </c>
      <c r="J279" s="154"/>
      <c r="K279" s="154">
        <f t="shared" si="58"/>
        <v>700</v>
      </c>
      <c r="L279" s="154">
        <v>10000</v>
      </c>
      <c r="M279" s="154"/>
      <c r="N279" s="154"/>
      <c r="P279" s="150" t="s">
        <v>868</v>
      </c>
    </row>
    <row r="280" spans="1:16" x14ac:dyDescent="0.25">
      <c r="A280" s="100"/>
      <c r="B280" s="58"/>
      <c r="C280" s="58"/>
      <c r="D280" s="58"/>
      <c r="E280" s="58"/>
      <c r="F280" s="154"/>
      <c r="G280" s="154"/>
      <c r="H280" s="154"/>
      <c r="I280" s="154"/>
      <c r="J280" s="154"/>
      <c r="K280" s="155"/>
      <c r="L280" s="154"/>
      <c r="M280" s="154"/>
      <c r="N280" s="154"/>
    </row>
    <row r="281" spans="1:16" ht="15" customHeight="1" x14ac:dyDescent="0.25">
      <c r="A281" s="176" t="s">
        <v>451</v>
      </c>
      <c r="B281" s="181"/>
      <c r="C281" s="181"/>
      <c r="D281" s="181"/>
      <c r="E281" s="180"/>
      <c r="F281" s="180"/>
      <c r="G281" s="180"/>
      <c r="H281" s="180"/>
      <c r="I281" s="180"/>
      <c r="J281" s="180"/>
      <c r="K281" s="155"/>
      <c r="L281" s="180"/>
      <c r="M281" s="180"/>
      <c r="N281" s="180"/>
      <c r="O281" s="180"/>
    </row>
    <row r="282" spans="1:16" x14ac:dyDescent="0.25">
      <c r="A282" s="701" t="s">
        <v>269</v>
      </c>
      <c r="B282" s="702"/>
      <c r="C282" s="702"/>
      <c r="D282" s="702"/>
      <c r="E282" s="703"/>
      <c r="F282" s="94">
        <f>F284</f>
        <v>5676.3899999999994</v>
      </c>
      <c r="G282" s="94">
        <f>G284</f>
        <v>22000</v>
      </c>
      <c r="H282" s="94">
        <f>H284</f>
        <v>-2000</v>
      </c>
      <c r="I282" s="249">
        <f>G282+H282</f>
        <v>20000</v>
      </c>
      <c r="J282" s="249">
        <f>J287</f>
        <v>2000</v>
      </c>
      <c r="K282" s="197">
        <f t="shared" si="58"/>
        <v>22000</v>
      </c>
      <c r="L282" s="249"/>
      <c r="M282" s="249"/>
      <c r="N282" s="249">
        <f>N287+N289</f>
        <v>16806.010000000002</v>
      </c>
    </row>
    <row r="283" spans="1:16" x14ac:dyDescent="0.25">
      <c r="A283" s="122"/>
      <c r="B283" s="123"/>
      <c r="C283" s="123"/>
      <c r="D283" s="123"/>
      <c r="E283" s="123"/>
      <c r="F283" s="124"/>
      <c r="G283" s="124"/>
      <c r="H283" s="124"/>
      <c r="I283" s="124"/>
      <c r="J283" s="124"/>
      <c r="K283" s="155"/>
      <c r="L283" s="124"/>
      <c r="M283" s="124"/>
      <c r="N283" s="124"/>
    </row>
    <row r="284" spans="1:16" x14ac:dyDescent="0.25">
      <c r="A284" s="121">
        <v>3</v>
      </c>
      <c r="B284" s="125" t="s">
        <v>198</v>
      </c>
      <c r="C284" s="125"/>
      <c r="D284" s="125"/>
      <c r="E284" s="125"/>
      <c r="F284" s="114">
        <f>F285</f>
        <v>5676.3899999999994</v>
      </c>
      <c r="G284" s="114">
        <f>G285</f>
        <v>22000</v>
      </c>
      <c r="H284" s="114">
        <f>H285</f>
        <v>-2000</v>
      </c>
      <c r="I284" s="114">
        <f>G284+H284</f>
        <v>20000</v>
      </c>
      <c r="J284" s="114"/>
      <c r="K284" s="155">
        <f t="shared" si="58"/>
        <v>20000</v>
      </c>
      <c r="L284" s="114"/>
      <c r="M284" s="114"/>
      <c r="N284" s="114"/>
    </row>
    <row r="285" spans="1:16" x14ac:dyDescent="0.25">
      <c r="A285" s="97">
        <v>32</v>
      </c>
      <c r="B285" s="63" t="s">
        <v>170</v>
      </c>
      <c r="C285" s="63"/>
      <c r="D285" s="63"/>
      <c r="E285" s="63"/>
      <c r="F285" s="79">
        <f>F286+F288</f>
        <v>5676.3899999999994</v>
      </c>
      <c r="G285" s="79">
        <f>G286+G288</f>
        <v>22000</v>
      </c>
      <c r="H285" s="79">
        <f>H286+H288</f>
        <v>-2000</v>
      </c>
      <c r="I285" s="114">
        <f t="shared" ref="I285:I289" si="60">G285+H285</f>
        <v>20000</v>
      </c>
      <c r="J285" s="114"/>
      <c r="K285" s="155">
        <f t="shared" si="58"/>
        <v>20000</v>
      </c>
      <c r="L285" s="114"/>
      <c r="M285" s="114"/>
      <c r="N285" s="114"/>
    </row>
    <row r="286" spans="1:16" x14ac:dyDescent="0.25">
      <c r="A286" s="97">
        <v>322</v>
      </c>
      <c r="B286" s="63" t="s">
        <v>172</v>
      </c>
      <c r="C286" s="63"/>
      <c r="D286" s="63"/>
      <c r="E286" s="63"/>
      <c r="F286" s="79">
        <f>F287</f>
        <v>3558.89</v>
      </c>
      <c r="G286" s="79">
        <f>G287</f>
        <v>10000</v>
      </c>
      <c r="H286" s="79">
        <f>H287</f>
        <v>-2000</v>
      </c>
      <c r="I286" s="114">
        <f t="shared" si="60"/>
        <v>8000</v>
      </c>
      <c r="J286" s="114"/>
      <c r="K286" s="155">
        <f t="shared" si="58"/>
        <v>8000</v>
      </c>
      <c r="L286" s="114"/>
      <c r="M286" s="114"/>
      <c r="N286" s="114"/>
    </row>
    <row r="287" spans="1:16" x14ac:dyDescent="0.25">
      <c r="A287" s="98">
        <v>3223</v>
      </c>
      <c r="B287" t="s">
        <v>270</v>
      </c>
      <c r="F287" s="73">
        <v>3558.89</v>
      </c>
      <c r="G287" s="73">
        <f>12000-2000</f>
        <v>10000</v>
      </c>
      <c r="H287" s="73">
        <v>-2000</v>
      </c>
      <c r="I287" s="81">
        <f t="shared" si="60"/>
        <v>8000</v>
      </c>
      <c r="J287" s="250">
        <v>2000</v>
      </c>
      <c r="K287" s="154">
        <f t="shared" si="58"/>
        <v>10000</v>
      </c>
      <c r="L287" s="81"/>
      <c r="M287" s="81"/>
      <c r="N287" s="81">
        <v>7193.51</v>
      </c>
    </row>
    <row r="288" spans="1:16" x14ac:dyDescent="0.25">
      <c r="A288" s="97">
        <v>323</v>
      </c>
      <c r="B288" s="63" t="s">
        <v>173</v>
      </c>
      <c r="C288" s="63"/>
      <c r="D288" s="63"/>
      <c r="E288" s="63"/>
      <c r="F288" s="79">
        <f>F289</f>
        <v>2117.5</v>
      </c>
      <c r="G288" s="79">
        <f>G289</f>
        <v>12000</v>
      </c>
      <c r="H288" s="79">
        <f>H289</f>
        <v>0</v>
      </c>
      <c r="I288" s="114">
        <f t="shared" si="60"/>
        <v>12000</v>
      </c>
      <c r="J288" s="114"/>
      <c r="K288" s="155">
        <f t="shared" si="58"/>
        <v>12000</v>
      </c>
      <c r="L288" s="114"/>
      <c r="M288" s="114"/>
      <c r="N288" s="114"/>
    </row>
    <row r="289" spans="1:16" x14ac:dyDescent="0.25">
      <c r="A289" s="98">
        <v>3232</v>
      </c>
      <c r="B289" s="62" t="s">
        <v>271</v>
      </c>
      <c r="F289" s="73">
        <v>2117.5</v>
      </c>
      <c r="G289" s="73">
        <v>12000</v>
      </c>
      <c r="H289" s="73"/>
      <c r="I289" s="81">
        <f t="shared" si="60"/>
        <v>12000</v>
      </c>
      <c r="J289" s="81"/>
      <c r="K289" s="154">
        <f t="shared" si="58"/>
        <v>12000</v>
      </c>
      <c r="L289" s="81"/>
      <c r="M289" s="81"/>
      <c r="N289" s="81">
        <v>9612.5</v>
      </c>
      <c r="O289" s="7" t="s">
        <v>716</v>
      </c>
    </row>
    <row r="290" spans="1:16" ht="15.75" x14ac:dyDescent="0.25">
      <c r="A290" s="98"/>
      <c r="B290" s="62"/>
      <c r="F290" s="66"/>
      <c r="G290" s="66"/>
      <c r="H290" s="66"/>
      <c r="I290" s="66"/>
      <c r="J290" s="66"/>
      <c r="K290" s="155"/>
      <c r="L290" s="66"/>
      <c r="M290" s="66"/>
      <c r="N290" s="66"/>
    </row>
    <row r="291" spans="1:16" x14ac:dyDescent="0.25">
      <c r="A291" s="77" t="s">
        <v>85</v>
      </c>
      <c r="B291" s="77"/>
      <c r="C291" s="77"/>
      <c r="D291" s="77"/>
      <c r="E291" s="77"/>
      <c r="F291" s="78">
        <f>F294+F302+F319+F327+F311+F335</f>
        <v>90152.52</v>
      </c>
      <c r="G291" s="78">
        <f>G294+G302+G319+G327+G311+G335</f>
        <v>505000</v>
      </c>
      <c r="H291" s="78">
        <f>H294+H302+H319+H327+H311+H335</f>
        <v>46000</v>
      </c>
      <c r="I291" s="78">
        <f>I294+I302+I319+I327+I311+I335</f>
        <v>551000</v>
      </c>
      <c r="J291" s="78">
        <f>J294+J302+J319+J327+J311+J335+J342+J345</f>
        <v>116600</v>
      </c>
      <c r="K291" s="78">
        <f>K294+K302+K319+K327+K311+K335+K342+K345</f>
        <v>667600</v>
      </c>
      <c r="L291" s="363"/>
      <c r="M291" s="363"/>
      <c r="N291" s="363"/>
    </row>
    <row r="292" spans="1:16" x14ac:dyDescent="0.25">
      <c r="A292" s="101" t="s">
        <v>263</v>
      </c>
      <c r="B292" s="101"/>
      <c r="C292" s="101"/>
      <c r="D292" s="101"/>
      <c r="E292" s="101"/>
      <c r="F292" s="104"/>
      <c r="G292" s="104"/>
      <c r="H292" s="250"/>
      <c r="I292" s="250"/>
      <c r="J292" s="250"/>
      <c r="K292" s="155"/>
      <c r="L292" s="250"/>
      <c r="M292" s="250"/>
      <c r="N292" s="250"/>
    </row>
    <row r="293" spans="1:16" x14ac:dyDescent="0.25">
      <c r="A293" s="185" t="s">
        <v>447</v>
      </c>
      <c r="B293" s="182"/>
      <c r="C293" s="182"/>
      <c r="D293" s="183"/>
      <c r="E293" s="184"/>
      <c r="F293" s="184"/>
      <c r="G293" s="184"/>
      <c r="H293" s="184"/>
      <c r="I293" s="184"/>
      <c r="J293" s="184"/>
      <c r="K293" s="155"/>
      <c r="L293" s="184"/>
      <c r="M293" s="184"/>
      <c r="N293" s="184"/>
      <c r="O293" s="192"/>
    </row>
    <row r="294" spans="1:16" x14ac:dyDescent="0.25">
      <c r="A294" s="709" t="s">
        <v>272</v>
      </c>
      <c r="B294" s="710"/>
      <c r="C294" s="710"/>
      <c r="D294" s="710"/>
      <c r="E294" s="711"/>
      <c r="F294" s="99">
        <f>F296</f>
        <v>31322.84</v>
      </c>
      <c r="G294" s="99">
        <f>G296</f>
        <v>25000</v>
      </c>
      <c r="H294" s="99">
        <f>H296</f>
        <v>7000</v>
      </c>
      <c r="I294" s="152">
        <f>G294+H294</f>
        <v>32000</v>
      </c>
      <c r="J294" s="152"/>
      <c r="K294" s="197">
        <f>I294+J294</f>
        <v>32000</v>
      </c>
      <c r="L294" s="152"/>
      <c r="M294" s="152"/>
      <c r="N294" s="152">
        <f>N299</f>
        <v>31572.84</v>
      </c>
    </row>
    <row r="295" spans="1:16" x14ac:dyDescent="0.25">
      <c r="A295" s="100"/>
      <c r="B295" s="62"/>
      <c r="C295" s="62"/>
      <c r="D295" s="62"/>
      <c r="E295" s="62"/>
      <c r="F295" s="73"/>
      <c r="G295" s="73"/>
      <c r="H295" s="73"/>
      <c r="I295" s="73"/>
      <c r="J295" s="73"/>
      <c r="K295" s="155"/>
      <c r="L295" s="73"/>
      <c r="M295" s="73"/>
      <c r="N295" s="73"/>
    </row>
    <row r="296" spans="1:16" x14ac:dyDescent="0.25">
      <c r="A296" s="97">
        <v>4</v>
      </c>
      <c r="B296" s="63" t="s">
        <v>240</v>
      </c>
      <c r="C296" s="63"/>
      <c r="D296" s="63"/>
      <c r="E296" s="63"/>
      <c r="F296" s="79">
        <f t="shared" ref="F296:H297" si="61">F297</f>
        <v>31322.84</v>
      </c>
      <c r="G296" s="79">
        <f t="shared" si="61"/>
        <v>25000</v>
      </c>
      <c r="H296" s="79">
        <f t="shared" si="61"/>
        <v>7000</v>
      </c>
      <c r="I296" s="79">
        <f>G296+H296</f>
        <v>32000</v>
      </c>
      <c r="J296" s="79"/>
      <c r="K296" s="155">
        <f t="shared" ref="K296:K299" si="62">I296+J296</f>
        <v>32000</v>
      </c>
      <c r="L296" s="79"/>
      <c r="M296" s="79"/>
      <c r="N296" s="79"/>
    </row>
    <row r="297" spans="1:16" x14ac:dyDescent="0.25">
      <c r="A297" s="97">
        <v>45</v>
      </c>
      <c r="B297" s="712" t="s">
        <v>288</v>
      </c>
      <c r="C297" s="712"/>
      <c r="D297" s="712"/>
      <c r="E297" s="712"/>
      <c r="F297" s="79">
        <f t="shared" si="61"/>
        <v>31322.84</v>
      </c>
      <c r="G297" s="79">
        <f t="shared" si="61"/>
        <v>25000</v>
      </c>
      <c r="H297" s="79">
        <f t="shared" si="61"/>
        <v>7000</v>
      </c>
      <c r="I297" s="79">
        <f t="shared" ref="I297:I299" si="63">G297+H297</f>
        <v>32000</v>
      </c>
      <c r="J297" s="79"/>
      <c r="K297" s="155">
        <f t="shared" si="62"/>
        <v>32000</v>
      </c>
      <c r="L297" s="79"/>
      <c r="M297" s="79"/>
      <c r="N297" s="79"/>
    </row>
    <row r="298" spans="1:16" x14ac:dyDescent="0.25">
      <c r="A298" s="97">
        <v>451</v>
      </c>
      <c r="B298" s="63" t="s">
        <v>289</v>
      </c>
      <c r="C298" s="63"/>
      <c r="D298" s="63"/>
      <c r="E298" s="63"/>
      <c r="F298" s="79">
        <f>F299</f>
        <v>31322.84</v>
      </c>
      <c r="G298" s="79">
        <f>G299</f>
        <v>25000</v>
      </c>
      <c r="H298" s="79">
        <f>H299</f>
        <v>7000</v>
      </c>
      <c r="I298" s="79">
        <f t="shared" si="63"/>
        <v>32000</v>
      </c>
      <c r="J298" s="79"/>
      <c r="K298" s="155">
        <f t="shared" si="62"/>
        <v>32000</v>
      </c>
      <c r="L298" s="79"/>
      <c r="M298" s="79"/>
      <c r="N298" s="79"/>
    </row>
    <row r="299" spans="1:16" x14ac:dyDescent="0.25">
      <c r="A299" s="100">
        <v>4511</v>
      </c>
      <c r="B299" s="62" t="s">
        <v>575</v>
      </c>
      <c r="C299" s="62"/>
      <c r="D299" s="62"/>
      <c r="E299" s="62"/>
      <c r="F299" s="73">
        <v>31322.84</v>
      </c>
      <c r="G299" s="73">
        <v>25000</v>
      </c>
      <c r="H299" s="73">
        <v>7000</v>
      </c>
      <c r="I299" s="73">
        <f t="shared" si="63"/>
        <v>32000</v>
      </c>
      <c r="J299" s="73"/>
      <c r="K299" s="154">
        <f t="shared" si="62"/>
        <v>32000</v>
      </c>
      <c r="L299" s="73">
        <v>-100</v>
      </c>
      <c r="M299" s="73"/>
      <c r="N299" s="73">
        <v>31572.84</v>
      </c>
      <c r="P299" s="7" t="s">
        <v>576</v>
      </c>
    </row>
    <row r="300" spans="1:16" x14ac:dyDescent="0.25">
      <c r="A300" s="118"/>
      <c r="B300" s="107"/>
      <c r="C300" s="107"/>
      <c r="D300" s="107"/>
      <c r="E300" s="107"/>
      <c r="F300" s="73"/>
      <c r="G300" s="73"/>
      <c r="H300" s="73"/>
      <c r="I300" s="73"/>
      <c r="J300" s="73"/>
      <c r="K300" s="155"/>
      <c r="L300" s="73"/>
      <c r="M300" s="73"/>
      <c r="N300" s="73"/>
    </row>
    <row r="301" spans="1:16" x14ac:dyDescent="0.25">
      <c r="A301" s="185" t="s">
        <v>447</v>
      </c>
      <c r="B301" s="182"/>
      <c r="C301" s="182"/>
      <c r="D301" s="183"/>
      <c r="E301" s="184"/>
      <c r="F301" s="184"/>
      <c r="G301" s="184"/>
      <c r="H301" s="184"/>
      <c r="I301" s="184"/>
      <c r="J301" s="184"/>
      <c r="K301" s="155"/>
      <c r="L301" s="184"/>
      <c r="M301" s="184"/>
      <c r="N301" s="184"/>
      <c r="O301" s="192"/>
    </row>
    <row r="302" spans="1:16" x14ac:dyDescent="0.25">
      <c r="A302" s="799" t="s">
        <v>273</v>
      </c>
      <c r="B302" s="800"/>
      <c r="C302" s="800"/>
      <c r="D302" s="800"/>
      <c r="E302" s="801"/>
      <c r="F302" s="707">
        <f>F305</f>
        <v>58328.63</v>
      </c>
      <c r="G302" s="707">
        <f>G305</f>
        <v>30000</v>
      </c>
      <c r="H302" s="707">
        <f>H305</f>
        <v>29000</v>
      </c>
      <c r="I302" s="723">
        <f>G302+H302</f>
        <v>59000</v>
      </c>
      <c r="J302" s="788"/>
      <c r="K302" s="742">
        <f>I302+J302</f>
        <v>59000</v>
      </c>
      <c r="L302" s="788"/>
      <c r="M302" s="788"/>
      <c r="N302" s="359"/>
    </row>
    <row r="303" spans="1:16" x14ac:dyDescent="0.25">
      <c r="A303" s="718" t="s">
        <v>274</v>
      </c>
      <c r="B303" s="719"/>
      <c r="C303" s="719"/>
      <c r="D303" s="719"/>
      <c r="E303" s="720"/>
      <c r="F303" s="708"/>
      <c r="G303" s="708"/>
      <c r="H303" s="708"/>
      <c r="I303" s="725"/>
      <c r="J303" s="741"/>
      <c r="K303" s="742"/>
      <c r="L303" s="741"/>
      <c r="M303" s="741"/>
      <c r="N303" s="359">
        <f>N308</f>
        <v>58328.63</v>
      </c>
    </row>
    <row r="304" spans="1:16" x14ac:dyDescent="0.25">
      <c r="A304" s="100"/>
      <c r="B304" s="62"/>
      <c r="C304" s="62"/>
      <c r="D304" s="62"/>
      <c r="E304" s="62"/>
      <c r="F304" s="73"/>
      <c r="G304" s="73"/>
      <c r="H304" s="73"/>
      <c r="I304" s="73"/>
      <c r="J304" s="73"/>
      <c r="K304" s="155"/>
      <c r="L304" s="73"/>
      <c r="M304" s="73"/>
      <c r="N304" s="73"/>
    </row>
    <row r="305" spans="1:21" x14ac:dyDescent="0.25">
      <c r="A305" s="97">
        <v>4</v>
      </c>
      <c r="B305" s="63" t="s">
        <v>240</v>
      </c>
      <c r="C305" s="63"/>
      <c r="D305" s="63"/>
      <c r="E305" s="63"/>
      <c r="F305" s="79">
        <f t="shared" ref="F305:H307" si="64">F306</f>
        <v>58328.63</v>
      </c>
      <c r="G305" s="79">
        <f t="shared" si="64"/>
        <v>30000</v>
      </c>
      <c r="H305" s="79">
        <f t="shared" si="64"/>
        <v>29000</v>
      </c>
      <c r="I305" s="79">
        <f>G305+H305</f>
        <v>59000</v>
      </c>
      <c r="J305" s="79"/>
      <c r="K305" s="155">
        <f>I305+J305</f>
        <v>59000</v>
      </c>
      <c r="L305" s="79"/>
      <c r="M305" s="79"/>
      <c r="N305" s="79"/>
    </row>
    <row r="306" spans="1:21" x14ac:dyDescent="0.25">
      <c r="A306" s="97">
        <v>45</v>
      </c>
      <c r="B306" s="712" t="s">
        <v>288</v>
      </c>
      <c r="C306" s="712"/>
      <c r="D306" s="712"/>
      <c r="E306" s="712"/>
      <c r="F306" s="79">
        <f t="shared" si="64"/>
        <v>58328.63</v>
      </c>
      <c r="G306" s="79">
        <f t="shared" si="64"/>
        <v>30000</v>
      </c>
      <c r="H306" s="79">
        <f t="shared" si="64"/>
        <v>29000</v>
      </c>
      <c r="I306" s="79">
        <f t="shared" ref="I306:I308" si="65">G306+H306</f>
        <v>59000</v>
      </c>
      <c r="J306" s="79"/>
      <c r="K306" s="155">
        <f t="shared" ref="K306:K308" si="66">I306+J306</f>
        <v>59000</v>
      </c>
      <c r="L306" s="79"/>
      <c r="M306" s="79"/>
      <c r="N306" s="79"/>
    </row>
    <row r="307" spans="1:21" x14ac:dyDescent="0.25">
      <c r="A307" s="97">
        <v>451</v>
      </c>
      <c r="B307" s="63" t="s">
        <v>289</v>
      </c>
      <c r="C307" s="63"/>
      <c r="D307" s="63"/>
      <c r="E307" s="63"/>
      <c r="F307" s="79">
        <f t="shared" si="64"/>
        <v>58328.63</v>
      </c>
      <c r="G307" s="79">
        <f t="shared" si="64"/>
        <v>30000</v>
      </c>
      <c r="H307" s="79">
        <f t="shared" si="64"/>
        <v>29000</v>
      </c>
      <c r="I307" s="79">
        <f t="shared" si="65"/>
        <v>59000</v>
      </c>
      <c r="J307" s="79"/>
      <c r="K307" s="155">
        <f t="shared" si="66"/>
        <v>59000</v>
      </c>
      <c r="L307" s="79"/>
      <c r="M307" s="79"/>
      <c r="N307" s="79"/>
    </row>
    <row r="308" spans="1:21" x14ac:dyDescent="0.25">
      <c r="A308" s="100">
        <v>4511</v>
      </c>
      <c r="B308" s="700" t="s">
        <v>581</v>
      </c>
      <c r="C308" s="700"/>
      <c r="D308" s="700"/>
      <c r="E308" s="700"/>
      <c r="F308" s="73">
        <v>58328.63</v>
      </c>
      <c r="G308" s="73">
        <v>30000</v>
      </c>
      <c r="H308" s="73">
        <v>29000</v>
      </c>
      <c r="I308" s="73">
        <f t="shared" si="65"/>
        <v>59000</v>
      </c>
      <c r="J308" s="73"/>
      <c r="K308" s="154">
        <f t="shared" si="66"/>
        <v>59000</v>
      </c>
      <c r="L308" s="73">
        <v>-900</v>
      </c>
      <c r="M308" s="73"/>
      <c r="N308" s="73">
        <v>58328.63</v>
      </c>
      <c r="O308" s="7" t="s">
        <v>803</v>
      </c>
    </row>
    <row r="309" spans="1:21" x14ac:dyDescent="0.25">
      <c r="A309" s="100"/>
      <c r="B309" s="107"/>
      <c r="C309" s="107"/>
      <c r="D309" s="107"/>
      <c r="E309" s="107"/>
      <c r="F309" s="73"/>
      <c r="G309" s="73"/>
      <c r="H309" s="73"/>
      <c r="I309" s="73"/>
      <c r="J309" s="73"/>
      <c r="K309" s="155"/>
      <c r="L309" s="73"/>
      <c r="M309" s="73"/>
      <c r="N309" s="73"/>
    </row>
    <row r="310" spans="1:21" x14ac:dyDescent="0.25">
      <c r="A310" s="185" t="s">
        <v>447</v>
      </c>
      <c r="B310" s="182"/>
      <c r="C310" s="182"/>
      <c r="D310" s="183"/>
      <c r="E310" s="184"/>
      <c r="F310" s="184"/>
      <c r="G310" s="184"/>
      <c r="H310" s="184"/>
      <c r="I310" s="184"/>
      <c r="J310" s="184"/>
      <c r="K310" s="155"/>
      <c r="L310" s="184"/>
      <c r="M310" s="184"/>
      <c r="N310" s="184"/>
      <c r="O310" s="192"/>
    </row>
    <row r="311" spans="1:21" s="145" customFormat="1" x14ac:dyDescent="0.25">
      <c r="A311" s="191" t="s">
        <v>609</v>
      </c>
      <c r="B311" s="199"/>
      <c r="C311" s="199"/>
      <c r="D311" s="199"/>
      <c r="E311" s="199"/>
      <c r="F311" s="152">
        <f>F313</f>
        <v>0</v>
      </c>
      <c r="G311" s="152">
        <f>G313</f>
        <v>60000</v>
      </c>
      <c r="H311" s="152">
        <f>H313</f>
        <v>10000</v>
      </c>
      <c r="I311" s="152">
        <f>G311+H311</f>
        <v>70000</v>
      </c>
      <c r="J311" s="152">
        <f>J316</f>
        <v>20600</v>
      </c>
      <c r="K311" s="197">
        <f>I311+J311</f>
        <v>90600</v>
      </c>
      <c r="L311" s="152"/>
      <c r="M311" s="152"/>
      <c r="N311" s="152">
        <f>N316</f>
        <v>3165</v>
      </c>
      <c r="O311" s="190"/>
      <c r="P311" s="190"/>
      <c r="Q311" s="190"/>
      <c r="R311" s="190"/>
      <c r="S311" s="190"/>
      <c r="T311" s="190"/>
      <c r="U311" s="190"/>
    </row>
    <row r="312" spans="1:21" x14ac:dyDescent="0.25">
      <c r="A312" s="100"/>
      <c r="B312" s="62"/>
      <c r="C312" s="62"/>
      <c r="D312" s="62"/>
      <c r="E312" s="62"/>
      <c r="F312" s="73"/>
      <c r="G312" s="73"/>
      <c r="H312" s="73"/>
      <c r="I312" s="73"/>
      <c r="J312" s="73"/>
      <c r="K312" s="155"/>
      <c r="L312" s="73"/>
      <c r="M312" s="73"/>
      <c r="N312" s="73"/>
    </row>
    <row r="313" spans="1:21" x14ac:dyDescent="0.25">
      <c r="A313" s="97">
        <v>4</v>
      </c>
      <c r="B313" s="63" t="s">
        <v>240</v>
      </c>
      <c r="C313" s="63"/>
      <c r="D313" s="63"/>
      <c r="E313" s="63"/>
      <c r="F313" s="79">
        <f t="shared" ref="F313:H315" si="67">F314</f>
        <v>0</v>
      </c>
      <c r="G313" s="79">
        <f t="shared" si="67"/>
        <v>60000</v>
      </c>
      <c r="H313" s="79">
        <f t="shared" si="67"/>
        <v>10000</v>
      </c>
      <c r="I313" s="79">
        <f>G313+H313</f>
        <v>70000</v>
      </c>
      <c r="J313" s="79"/>
      <c r="K313" s="155">
        <f t="shared" ref="K313:K316" si="68">I313+J313</f>
        <v>70000</v>
      </c>
      <c r="L313" s="79"/>
      <c r="M313" s="79"/>
      <c r="N313" s="79"/>
      <c r="P313" s="7" t="s">
        <v>849</v>
      </c>
    </row>
    <row r="314" spans="1:21" x14ac:dyDescent="0.25">
      <c r="A314" s="97">
        <v>42</v>
      </c>
      <c r="B314" s="712" t="s">
        <v>267</v>
      </c>
      <c r="C314" s="712"/>
      <c r="D314" s="712"/>
      <c r="E314" s="712"/>
      <c r="F314" s="79">
        <f t="shared" si="67"/>
        <v>0</v>
      </c>
      <c r="G314" s="79">
        <f t="shared" si="67"/>
        <v>60000</v>
      </c>
      <c r="H314" s="79">
        <f t="shared" si="67"/>
        <v>10000</v>
      </c>
      <c r="I314" s="79">
        <f t="shared" ref="I314:I316" si="69">G314+H314</f>
        <v>70000</v>
      </c>
      <c r="J314" s="79"/>
      <c r="K314" s="155">
        <f t="shared" si="68"/>
        <v>70000</v>
      </c>
      <c r="L314" s="79"/>
      <c r="M314" s="79"/>
      <c r="N314" s="79"/>
      <c r="P314" s="7" t="s">
        <v>771</v>
      </c>
    </row>
    <row r="315" spans="1:21" x14ac:dyDescent="0.25">
      <c r="A315" s="97">
        <v>421</v>
      </c>
      <c r="B315" s="63" t="s">
        <v>182</v>
      </c>
      <c r="C315" s="63"/>
      <c r="D315" s="63"/>
      <c r="E315" s="63"/>
      <c r="F315" s="79">
        <f t="shared" si="67"/>
        <v>0</v>
      </c>
      <c r="G315" s="79">
        <f t="shared" si="67"/>
        <v>60000</v>
      </c>
      <c r="H315" s="79">
        <f t="shared" si="67"/>
        <v>10000</v>
      </c>
      <c r="I315" s="79">
        <f t="shared" si="69"/>
        <v>70000</v>
      </c>
      <c r="J315" s="79"/>
      <c r="K315" s="155">
        <f t="shared" si="68"/>
        <v>70000</v>
      </c>
      <c r="L315" s="79"/>
      <c r="M315" s="79"/>
      <c r="N315" s="79"/>
      <c r="P315" s="7" t="s">
        <v>844</v>
      </c>
    </row>
    <row r="316" spans="1:21" x14ac:dyDescent="0.25">
      <c r="A316" s="100">
        <v>4213</v>
      </c>
      <c r="B316" s="700" t="s">
        <v>367</v>
      </c>
      <c r="C316" s="700"/>
      <c r="D316" s="700"/>
      <c r="E316" s="700"/>
      <c r="F316" s="73"/>
      <c r="G316" s="73">
        <v>60000</v>
      </c>
      <c r="H316" s="73">
        <f>15000-5000</f>
        <v>10000</v>
      </c>
      <c r="I316" s="73">
        <f t="shared" si="69"/>
        <v>70000</v>
      </c>
      <c r="J316" s="73">
        <v>20600</v>
      </c>
      <c r="K316" s="154">
        <f t="shared" si="68"/>
        <v>90600</v>
      </c>
      <c r="L316" s="73">
        <v>1000</v>
      </c>
      <c r="M316" s="73"/>
      <c r="N316" s="73">
        <v>3165</v>
      </c>
      <c r="P316" s="7" t="s">
        <v>830</v>
      </c>
    </row>
    <row r="317" spans="1:21" x14ac:dyDescent="0.25">
      <c r="A317" s="100"/>
      <c r="B317" s="58"/>
      <c r="C317" s="58"/>
      <c r="D317" s="58"/>
      <c r="E317" s="58"/>
      <c r="F317" s="73"/>
      <c r="G317" s="73"/>
      <c r="H317" s="73"/>
      <c r="I317" s="73"/>
      <c r="J317" s="73"/>
      <c r="K317" s="155"/>
      <c r="L317" s="73"/>
      <c r="M317" s="73"/>
      <c r="N317" s="73"/>
    </row>
    <row r="318" spans="1:21" x14ac:dyDescent="0.25">
      <c r="A318" s="185" t="s">
        <v>447</v>
      </c>
      <c r="B318" s="182"/>
      <c r="C318" s="182"/>
      <c r="D318" s="183"/>
      <c r="E318" s="184"/>
      <c r="F318" s="184"/>
      <c r="G318" s="184"/>
      <c r="H318" s="184"/>
      <c r="I318" s="184"/>
      <c r="J318" s="184"/>
      <c r="K318" s="155"/>
      <c r="L318" s="184"/>
      <c r="M318" s="184"/>
      <c r="N318" s="184"/>
      <c r="O318" s="192"/>
    </row>
    <row r="319" spans="1:21" s="145" customFormat="1" x14ac:dyDescent="0.25">
      <c r="A319" s="191" t="s">
        <v>614</v>
      </c>
      <c r="B319" s="199"/>
      <c r="C319" s="199"/>
      <c r="D319" s="199"/>
      <c r="E319" s="199"/>
      <c r="F319" s="152">
        <f>F321</f>
        <v>0</v>
      </c>
      <c r="G319" s="152">
        <f>G321</f>
        <v>90000</v>
      </c>
      <c r="H319" s="152">
        <f>H321</f>
        <v>-90000</v>
      </c>
      <c r="I319" s="152">
        <f>G319+H319</f>
        <v>0</v>
      </c>
      <c r="J319" s="152"/>
      <c r="K319" s="197">
        <f>I319+J319</f>
        <v>0</v>
      </c>
      <c r="L319" s="152"/>
      <c r="M319" s="152"/>
      <c r="N319" s="152"/>
      <c r="O319" s="190"/>
      <c r="P319" s="7"/>
      <c r="Q319" s="190"/>
      <c r="R319" s="190"/>
      <c r="S319" s="190"/>
      <c r="T319" s="190"/>
      <c r="U319" s="190"/>
    </row>
    <row r="320" spans="1:21" x14ac:dyDescent="0.25">
      <c r="A320" s="100"/>
      <c r="B320" s="62"/>
      <c r="C320" s="62"/>
      <c r="D320" s="62"/>
      <c r="E320" s="62"/>
      <c r="F320" s="73"/>
      <c r="G320" s="73"/>
      <c r="H320" s="73"/>
      <c r="I320" s="73"/>
      <c r="J320" s="73"/>
      <c r="K320" s="155"/>
      <c r="L320" s="73"/>
      <c r="M320" s="73"/>
      <c r="N320" s="73"/>
    </row>
    <row r="321" spans="1:16" x14ac:dyDescent="0.25">
      <c r="A321" s="97">
        <v>4</v>
      </c>
      <c r="B321" s="63" t="s">
        <v>240</v>
      </c>
      <c r="C321" s="63"/>
      <c r="D321" s="63"/>
      <c r="E321" s="63"/>
      <c r="F321" s="79">
        <f t="shared" ref="F321:H323" si="70">F322</f>
        <v>0</v>
      </c>
      <c r="G321" s="79">
        <f t="shared" si="70"/>
        <v>90000</v>
      </c>
      <c r="H321" s="79">
        <f t="shared" si="70"/>
        <v>-90000</v>
      </c>
      <c r="I321" s="79">
        <f>G321+H321</f>
        <v>0</v>
      </c>
      <c r="J321" s="79"/>
      <c r="K321" s="155">
        <f t="shared" ref="K321:K324" si="71">I321+J321</f>
        <v>0</v>
      </c>
      <c r="L321" s="79"/>
      <c r="M321" s="79"/>
      <c r="N321" s="79"/>
    </row>
    <row r="322" spans="1:16" x14ac:dyDescent="0.25">
      <c r="A322" s="97">
        <v>42</v>
      </c>
      <c r="B322" s="712" t="s">
        <v>267</v>
      </c>
      <c r="C322" s="712"/>
      <c r="D322" s="712"/>
      <c r="E322" s="712"/>
      <c r="F322" s="79">
        <f t="shared" si="70"/>
        <v>0</v>
      </c>
      <c r="G322" s="79">
        <f t="shared" si="70"/>
        <v>90000</v>
      </c>
      <c r="H322" s="79">
        <f t="shared" si="70"/>
        <v>-90000</v>
      </c>
      <c r="I322" s="79">
        <f t="shared" ref="I322:I324" si="72">G322+H322</f>
        <v>0</v>
      </c>
      <c r="J322" s="79"/>
      <c r="K322" s="155">
        <f t="shared" si="71"/>
        <v>0</v>
      </c>
      <c r="L322" s="79"/>
      <c r="M322" s="79"/>
      <c r="N322" s="79"/>
    </row>
    <row r="323" spans="1:16" x14ac:dyDescent="0.25">
      <c r="A323" s="97">
        <v>421</v>
      </c>
      <c r="B323" s="63" t="s">
        <v>182</v>
      </c>
      <c r="C323" s="63"/>
      <c r="D323" s="63"/>
      <c r="E323" s="63"/>
      <c r="F323" s="79">
        <f t="shared" si="70"/>
        <v>0</v>
      </c>
      <c r="G323" s="79">
        <f t="shared" si="70"/>
        <v>90000</v>
      </c>
      <c r="H323" s="79">
        <f t="shared" si="70"/>
        <v>-90000</v>
      </c>
      <c r="I323" s="79">
        <f t="shared" si="72"/>
        <v>0</v>
      </c>
      <c r="J323" s="79"/>
      <c r="K323" s="155">
        <f t="shared" si="71"/>
        <v>0</v>
      </c>
      <c r="L323" s="79"/>
      <c r="M323" s="79"/>
      <c r="N323" s="79"/>
    </row>
    <row r="324" spans="1:16" x14ac:dyDescent="0.25">
      <c r="A324" s="100">
        <v>4213</v>
      </c>
      <c r="B324" s="700" t="s">
        <v>367</v>
      </c>
      <c r="C324" s="700"/>
      <c r="D324" s="700"/>
      <c r="E324" s="700"/>
      <c r="F324" s="73"/>
      <c r="G324" s="73">
        <f>95000-5000</f>
        <v>90000</v>
      </c>
      <c r="H324" s="73">
        <v>-90000</v>
      </c>
      <c r="I324" s="73">
        <f t="shared" si="72"/>
        <v>0</v>
      </c>
      <c r="J324" s="73"/>
      <c r="K324" s="154">
        <f t="shared" si="71"/>
        <v>0</v>
      </c>
      <c r="L324" s="73"/>
      <c r="M324" s="73"/>
      <c r="N324" s="73"/>
      <c r="P324" s="7" t="s">
        <v>573</v>
      </c>
    </row>
    <row r="325" spans="1:16" x14ac:dyDescent="0.25">
      <c r="A325" s="100"/>
      <c r="B325" s="58"/>
      <c r="C325" s="58"/>
      <c r="D325" s="58"/>
      <c r="E325" s="58"/>
      <c r="F325" s="73"/>
      <c r="G325" s="73"/>
      <c r="H325" s="73"/>
      <c r="I325" s="73"/>
      <c r="J325" s="73"/>
      <c r="K325" s="155"/>
      <c r="L325" s="73"/>
      <c r="M325" s="73"/>
      <c r="N325" s="73"/>
    </row>
    <row r="326" spans="1:16" x14ac:dyDescent="0.25">
      <c r="A326" s="185" t="s">
        <v>447</v>
      </c>
      <c r="B326" s="182"/>
      <c r="C326" s="182"/>
      <c r="D326" s="183"/>
      <c r="E326" s="184"/>
      <c r="F326" s="184"/>
      <c r="G326" s="184"/>
      <c r="H326" s="184"/>
      <c r="I326" s="184"/>
      <c r="J326" s="184"/>
      <c r="K326" s="155"/>
      <c r="L326" s="184"/>
      <c r="M326" s="184"/>
      <c r="N326" s="184"/>
      <c r="O326" s="192"/>
    </row>
    <row r="327" spans="1:16" x14ac:dyDescent="0.25">
      <c r="A327" s="269" t="s">
        <v>737</v>
      </c>
      <c r="B327" s="274"/>
      <c r="C327" s="274"/>
      <c r="D327" s="274"/>
      <c r="E327" s="274"/>
      <c r="F327" s="152">
        <f>F329</f>
        <v>126.05</v>
      </c>
      <c r="G327" s="152">
        <f>G329</f>
        <v>230000</v>
      </c>
      <c r="H327" s="152">
        <f>H329</f>
        <v>92000</v>
      </c>
      <c r="I327" s="152">
        <f>G327+H327</f>
        <v>322000</v>
      </c>
      <c r="J327" s="152"/>
      <c r="K327" s="197">
        <f>I327+J327</f>
        <v>322000</v>
      </c>
      <c r="L327" s="152"/>
      <c r="M327" s="152"/>
      <c r="N327" s="152">
        <f>N332</f>
        <v>126.05</v>
      </c>
    </row>
    <row r="328" spans="1:16" x14ac:dyDescent="0.25">
      <c r="A328" s="100"/>
      <c r="B328" s="62"/>
      <c r="C328" s="62"/>
      <c r="D328" s="62"/>
      <c r="E328" s="62"/>
      <c r="F328" s="73"/>
      <c r="G328" s="73"/>
      <c r="H328" s="73"/>
      <c r="I328" s="73"/>
      <c r="J328" s="73"/>
      <c r="K328" s="155"/>
      <c r="L328" s="73"/>
      <c r="M328" s="73"/>
      <c r="N328" s="73"/>
    </row>
    <row r="329" spans="1:16" x14ac:dyDescent="0.25">
      <c r="A329" s="97">
        <v>4</v>
      </c>
      <c r="B329" s="63" t="s">
        <v>240</v>
      </c>
      <c r="C329" s="63"/>
      <c r="D329" s="63"/>
      <c r="E329" s="63"/>
      <c r="F329" s="79">
        <f t="shared" ref="F329:H331" si="73">F330</f>
        <v>126.05</v>
      </c>
      <c r="G329" s="79">
        <f t="shared" si="73"/>
        <v>230000</v>
      </c>
      <c r="H329" s="79">
        <f t="shared" si="73"/>
        <v>92000</v>
      </c>
      <c r="I329" s="79">
        <f>G329+H329</f>
        <v>322000</v>
      </c>
      <c r="J329" s="79"/>
      <c r="K329" s="155">
        <f t="shared" ref="K329:K335" si="74">I329+J329</f>
        <v>322000</v>
      </c>
      <c r="L329" s="79"/>
      <c r="M329" s="79"/>
      <c r="N329" s="79"/>
      <c r="P329" s="7" t="s">
        <v>775</v>
      </c>
    </row>
    <row r="330" spans="1:16" x14ac:dyDescent="0.25">
      <c r="A330" s="97">
        <v>42</v>
      </c>
      <c r="B330" s="712" t="s">
        <v>267</v>
      </c>
      <c r="C330" s="712"/>
      <c r="D330" s="712"/>
      <c r="E330" s="712"/>
      <c r="F330" s="79">
        <f t="shared" si="73"/>
        <v>126.05</v>
      </c>
      <c r="G330" s="79">
        <f t="shared" si="73"/>
        <v>230000</v>
      </c>
      <c r="H330" s="79">
        <f t="shared" si="73"/>
        <v>92000</v>
      </c>
      <c r="I330" s="79">
        <f t="shared" ref="I330:I332" si="75">G330+H330</f>
        <v>322000</v>
      </c>
      <c r="J330" s="79"/>
      <c r="K330" s="155">
        <f t="shared" si="74"/>
        <v>322000</v>
      </c>
      <c r="L330" s="79"/>
      <c r="M330" s="79"/>
      <c r="N330" s="79"/>
      <c r="P330" s="7" t="s">
        <v>776</v>
      </c>
    </row>
    <row r="331" spans="1:16" x14ac:dyDescent="0.25">
      <c r="A331" s="97">
        <v>421</v>
      </c>
      <c r="B331" s="63" t="s">
        <v>182</v>
      </c>
      <c r="C331" s="63"/>
      <c r="D331" s="63"/>
      <c r="E331" s="63"/>
      <c r="F331" s="79">
        <f t="shared" si="73"/>
        <v>126.05</v>
      </c>
      <c r="G331" s="79">
        <f t="shared" si="73"/>
        <v>230000</v>
      </c>
      <c r="H331" s="79">
        <f t="shared" si="73"/>
        <v>92000</v>
      </c>
      <c r="I331" s="79">
        <f t="shared" si="75"/>
        <v>322000</v>
      </c>
      <c r="J331" s="79"/>
      <c r="K331" s="155">
        <f t="shared" si="74"/>
        <v>322000</v>
      </c>
      <c r="L331" s="79"/>
      <c r="M331" s="79"/>
      <c r="N331" s="79"/>
    </row>
    <row r="332" spans="1:16" x14ac:dyDescent="0.25">
      <c r="A332" s="100">
        <v>4213</v>
      </c>
      <c r="B332" s="700" t="s">
        <v>367</v>
      </c>
      <c r="C332" s="700"/>
      <c r="D332" s="700"/>
      <c r="E332" s="700"/>
      <c r="F332" s="73">
        <v>126.05</v>
      </c>
      <c r="G332" s="73">
        <v>230000</v>
      </c>
      <c r="H332" s="73">
        <v>92000</v>
      </c>
      <c r="I332" s="73">
        <f t="shared" si="75"/>
        <v>322000</v>
      </c>
      <c r="J332" s="73"/>
      <c r="K332" s="154">
        <f t="shared" si="74"/>
        <v>322000</v>
      </c>
      <c r="L332" s="73">
        <v>-321000</v>
      </c>
      <c r="M332" s="73"/>
      <c r="N332" s="73">
        <v>126.05</v>
      </c>
    </row>
    <row r="333" spans="1:16" x14ac:dyDescent="0.25">
      <c r="A333" s="100"/>
      <c r="B333" s="58"/>
      <c r="C333" s="58"/>
      <c r="D333" s="58"/>
      <c r="E333" s="58"/>
      <c r="F333" s="73"/>
      <c r="G333" s="73"/>
      <c r="H333" s="73"/>
      <c r="I333" s="73"/>
      <c r="J333" s="73"/>
      <c r="K333" s="155"/>
      <c r="L333" s="73"/>
      <c r="M333" s="73"/>
      <c r="N333" s="73"/>
    </row>
    <row r="334" spans="1:16" x14ac:dyDescent="0.25">
      <c r="A334" s="185" t="s">
        <v>447</v>
      </c>
      <c r="B334" s="182"/>
      <c r="C334" s="182"/>
      <c r="D334" s="183"/>
      <c r="E334" s="184"/>
      <c r="F334" s="184"/>
      <c r="G334" s="184"/>
      <c r="H334" s="184"/>
      <c r="I334" s="184"/>
      <c r="J334" s="184"/>
      <c r="K334" s="155"/>
      <c r="L334" s="184"/>
      <c r="M334" s="184"/>
      <c r="N334" s="184"/>
      <c r="O334" s="192"/>
    </row>
    <row r="335" spans="1:16" x14ac:dyDescent="0.25">
      <c r="A335" s="269" t="s">
        <v>738</v>
      </c>
      <c r="B335" s="269"/>
      <c r="C335" s="269"/>
      <c r="D335" s="269"/>
      <c r="E335" s="269"/>
      <c r="F335" s="152">
        <f>F337</f>
        <v>375</v>
      </c>
      <c r="G335" s="152">
        <f>G337</f>
        <v>70000</v>
      </c>
      <c r="H335" s="152">
        <f>H337</f>
        <v>-2000</v>
      </c>
      <c r="I335" s="152">
        <f>G335+H335</f>
        <v>68000</v>
      </c>
      <c r="J335" s="152">
        <f>J340</f>
        <v>-2000</v>
      </c>
      <c r="K335" s="197">
        <f t="shared" si="74"/>
        <v>66000</v>
      </c>
      <c r="L335" s="152"/>
      <c r="M335" s="152"/>
      <c r="N335" s="152">
        <f>N340</f>
        <v>65571.25</v>
      </c>
    </row>
    <row r="336" spans="1:16" x14ac:dyDescent="0.25">
      <c r="A336" s="100"/>
      <c r="B336" s="62"/>
      <c r="C336" s="62"/>
      <c r="D336" s="62"/>
      <c r="E336" s="62"/>
      <c r="F336" s="73"/>
      <c r="G336" s="73"/>
      <c r="H336" s="73"/>
      <c r="I336" s="73"/>
      <c r="J336" s="73"/>
      <c r="K336" s="155"/>
      <c r="L336" s="73"/>
      <c r="M336" s="73"/>
      <c r="N336" s="73"/>
    </row>
    <row r="337" spans="1:17" x14ac:dyDescent="0.25">
      <c r="A337" s="97">
        <v>4</v>
      </c>
      <c r="B337" s="63" t="s">
        <v>240</v>
      </c>
      <c r="C337" s="63"/>
      <c r="D337" s="63"/>
      <c r="E337" s="63"/>
      <c r="F337" s="79">
        <f t="shared" ref="F337:H339" si="76">F338</f>
        <v>375</v>
      </c>
      <c r="G337" s="79">
        <f t="shared" si="76"/>
        <v>70000</v>
      </c>
      <c r="H337" s="79">
        <f t="shared" si="76"/>
        <v>-2000</v>
      </c>
      <c r="I337" s="79">
        <f>G337+H337</f>
        <v>68000</v>
      </c>
      <c r="J337" s="79"/>
      <c r="K337" s="155">
        <f>I337+J337</f>
        <v>68000</v>
      </c>
      <c r="L337" s="79"/>
      <c r="M337" s="79"/>
      <c r="N337" s="79"/>
    </row>
    <row r="338" spans="1:17" x14ac:dyDescent="0.25">
      <c r="A338" s="97">
        <v>42</v>
      </c>
      <c r="B338" s="712" t="s">
        <v>267</v>
      </c>
      <c r="C338" s="712"/>
      <c r="D338" s="712"/>
      <c r="E338" s="712"/>
      <c r="F338" s="79">
        <f t="shared" si="76"/>
        <v>375</v>
      </c>
      <c r="G338" s="79">
        <f t="shared" si="76"/>
        <v>70000</v>
      </c>
      <c r="H338" s="79">
        <f t="shared" si="76"/>
        <v>-2000</v>
      </c>
      <c r="I338" s="79">
        <f t="shared" ref="I338:I340" si="77">G338+H338</f>
        <v>68000</v>
      </c>
      <c r="J338" s="79"/>
      <c r="K338" s="155">
        <f t="shared" ref="K338:K340" si="78">I338+J338</f>
        <v>68000</v>
      </c>
      <c r="L338" s="79"/>
      <c r="M338" s="79"/>
      <c r="N338" s="79"/>
      <c r="P338" s="150" t="s">
        <v>772</v>
      </c>
      <c r="Q338" s="7" t="s">
        <v>773</v>
      </c>
    </row>
    <row r="339" spans="1:17" x14ac:dyDescent="0.25">
      <c r="A339" s="97">
        <v>421</v>
      </c>
      <c r="B339" s="63" t="s">
        <v>182</v>
      </c>
      <c r="C339" s="63"/>
      <c r="D339" s="63"/>
      <c r="E339" s="63"/>
      <c r="F339" s="79">
        <f t="shared" si="76"/>
        <v>375</v>
      </c>
      <c r="G339" s="79">
        <f t="shared" si="76"/>
        <v>70000</v>
      </c>
      <c r="H339" s="79">
        <f t="shared" si="76"/>
        <v>-2000</v>
      </c>
      <c r="I339" s="79">
        <f t="shared" si="77"/>
        <v>68000</v>
      </c>
      <c r="J339" s="79"/>
      <c r="K339" s="155">
        <f t="shared" si="78"/>
        <v>68000</v>
      </c>
      <c r="L339" s="79"/>
      <c r="M339" s="79"/>
      <c r="N339" s="79"/>
      <c r="P339" s="7" t="s">
        <v>774</v>
      </c>
    </row>
    <row r="340" spans="1:17" x14ac:dyDescent="0.25">
      <c r="A340" s="100">
        <v>4213</v>
      </c>
      <c r="B340" s="700" t="s">
        <v>571</v>
      </c>
      <c r="C340" s="700"/>
      <c r="D340" s="700"/>
      <c r="E340" s="700"/>
      <c r="F340" s="73">
        <v>375</v>
      </c>
      <c r="G340" s="73">
        <f>75000-5000</f>
        <v>70000</v>
      </c>
      <c r="H340" s="73">
        <v>-2000</v>
      </c>
      <c r="I340" s="73">
        <f t="shared" si="77"/>
        <v>68000</v>
      </c>
      <c r="J340" s="73">
        <v>-2000</v>
      </c>
      <c r="K340" s="154">
        <f t="shared" si="78"/>
        <v>66000</v>
      </c>
      <c r="L340" s="73"/>
      <c r="M340" s="73"/>
      <c r="N340" s="73">
        <v>65571.25</v>
      </c>
      <c r="O340" s="7" t="s">
        <v>804</v>
      </c>
    </row>
    <row r="341" spans="1:17" x14ac:dyDescent="0.25">
      <c r="A341" s="100"/>
      <c r="B341" s="58"/>
      <c r="C341" s="58"/>
      <c r="D341" s="58"/>
      <c r="E341" s="58"/>
      <c r="F341" s="73"/>
      <c r="G341" s="73"/>
      <c r="H341" s="73"/>
      <c r="I341" s="73"/>
      <c r="J341" s="73"/>
      <c r="K341" s="155"/>
      <c r="L341" s="73"/>
      <c r="M341" s="73"/>
      <c r="N341" s="73"/>
    </row>
    <row r="342" spans="1:17" x14ac:dyDescent="0.25">
      <c r="A342" s="269" t="s">
        <v>822</v>
      </c>
      <c r="B342" s="274"/>
      <c r="C342" s="274"/>
      <c r="D342" s="274" t="s">
        <v>842</v>
      </c>
      <c r="E342" s="274"/>
      <c r="F342" s="73"/>
      <c r="G342" s="447"/>
      <c r="H342" s="447"/>
      <c r="I342" s="447"/>
      <c r="J342" s="447">
        <v>64000</v>
      </c>
      <c r="K342" s="197">
        <f>I342+J342</f>
        <v>64000</v>
      </c>
      <c r="L342" s="447"/>
      <c r="M342" s="447"/>
      <c r="N342" s="447"/>
      <c r="O342" s="7" t="s">
        <v>823</v>
      </c>
    </row>
    <row r="343" spans="1:17" x14ac:dyDescent="0.25">
      <c r="A343" s="100"/>
      <c r="B343" s="58"/>
      <c r="C343" s="58"/>
      <c r="D343" s="58"/>
      <c r="E343" s="58"/>
      <c r="F343" s="73"/>
      <c r="G343" s="73"/>
      <c r="H343" s="73"/>
      <c r="I343" s="73"/>
      <c r="J343" s="73"/>
      <c r="K343" s="154">
        <f t="shared" ref="K343:K345" si="79">I343+J343</f>
        <v>0</v>
      </c>
      <c r="L343" s="73"/>
      <c r="M343" s="73"/>
      <c r="N343" s="73"/>
    </row>
    <row r="344" spans="1:17" x14ac:dyDescent="0.25">
      <c r="A344" s="100"/>
      <c r="B344" s="58"/>
      <c r="C344" s="58"/>
      <c r="D344" s="58"/>
      <c r="E344" s="58"/>
      <c r="F344" s="73"/>
      <c r="G344" s="73"/>
      <c r="H344" s="73"/>
      <c r="I344" s="73"/>
      <c r="J344" s="73"/>
      <c r="K344" s="154">
        <f t="shared" si="79"/>
        <v>0</v>
      </c>
      <c r="L344" s="73">
        <v>5000</v>
      </c>
      <c r="M344" s="73"/>
      <c r="N344" s="73"/>
      <c r="O344" s="7" t="s">
        <v>858</v>
      </c>
    </row>
    <row r="345" spans="1:17" x14ac:dyDescent="0.25">
      <c r="A345" s="269" t="s">
        <v>867</v>
      </c>
      <c r="B345" s="274"/>
      <c r="C345" s="274"/>
      <c r="D345" s="274"/>
      <c r="E345" s="274"/>
      <c r="F345" s="447"/>
      <c r="G345" s="447"/>
      <c r="H345" s="447"/>
      <c r="I345" s="447"/>
      <c r="J345" s="447">
        <v>34000</v>
      </c>
      <c r="K345" s="197">
        <f t="shared" si="79"/>
        <v>34000</v>
      </c>
      <c r="L345" s="447"/>
      <c r="M345" s="447"/>
      <c r="N345" s="447"/>
    </row>
    <row r="346" spans="1:17" x14ac:dyDescent="0.25">
      <c r="A346" s="100"/>
      <c r="B346" s="58"/>
      <c r="C346" s="58"/>
      <c r="D346" s="58"/>
      <c r="E346" s="58"/>
      <c r="F346" s="73"/>
      <c r="G346" s="73"/>
      <c r="H346" s="73"/>
      <c r="I346" s="73"/>
      <c r="J346" s="73"/>
      <c r="K346" s="155"/>
      <c r="L346" s="73"/>
      <c r="M346" s="73"/>
      <c r="N346" s="73"/>
      <c r="O346" s="7" t="s">
        <v>857</v>
      </c>
    </row>
    <row r="347" spans="1:17" x14ac:dyDescent="0.25">
      <c r="A347" s="100"/>
      <c r="B347" s="107"/>
      <c r="C347" s="107"/>
      <c r="D347" s="107"/>
      <c r="E347" s="107"/>
      <c r="F347" s="73"/>
      <c r="G347" s="73"/>
      <c r="H347" s="73"/>
      <c r="I347" s="73"/>
      <c r="J347" s="73"/>
      <c r="K347" s="155"/>
      <c r="L347" s="73"/>
      <c r="M347" s="73"/>
      <c r="N347" s="73"/>
    </row>
    <row r="348" spans="1:17" x14ac:dyDescent="0.25">
      <c r="A348" s="82" t="s">
        <v>87</v>
      </c>
      <c r="B348" s="82"/>
      <c r="C348" s="82"/>
      <c r="D348" s="82"/>
      <c r="E348" s="82"/>
      <c r="F348" s="727">
        <f>F351</f>
        <v>5087.18</v>
      </c>
      <c r="G348" s="727">
        <f>G352</f>
        <v>30000</v>
      </c>
      <c r="H348" s="727">
        <f>H352</f>
        <v>-5000</v>
      </c>
      <c r="I348" s="727">
        <f>G348+H348</f>
        <v>25000</v>
      </c>
      <c r="J348" s="727"/>
      <c r="K348" s="727">
        <f t="shared" ref="K348" si="80">I348+J348</f>
        <v>25000</v>
      </c>
      <c r="L348" s="367"/>
      <c r="M348" s="367"/>
      <c r="N348" s="367"/>
    </row>
    <row r="349" spans="1:17" x14ac:dyDescent="0.25">
      <c r="A349" s="84" t="s">
        <v>88</v>
      </c>
      <c r="B349" s="126"/>
      <c r="C349" s="126"/>
      <c r="D349" s="126"/>
      <c r="E349" s="83"/>
      <c r="F349" s="727"/>
      <c r="G349" s="727"/>
      <c r="H349" s="727"/>
      <c r="I349" s="727"/>
      <c r="J349" s="727"/>
      <c r="K349" s="727"/>
      <c r="L349" s="367"/>
      <c r="M349" s="367"/>
      <c r="N349" s="367"/>
    </row>
    <row r="350" spans="1:17" x14ac:dyDescent="0.25">
      <c r="A350" s="185" t="s">
        <v>453</v>
      </c>
      <c r="B350" s="182"/>
      <c r="C350" s="182"/>
      <c r="D350" s="183"/>
      <c r="E350" s="184"/>
      <c r="F350" s="184"/>
      <c r="G350" s="184"/>
      <c r="H350" s="184"/>
      <c r="I350" s="184"/>
      <c r="J350" s="184"/>
      <c r="K350" s="155"/>
      <c r="L350" s="184"/>
      <c r="M350" s="184"/>
      <c r="N350" s="184"/>
      <c r="O350" s="192"/>
    </row>
    <row r="351" spans="1:17" x14ac:dyDescent="0.25">
      <c r="A351" s="105" t="s">
        <v>275</v>
      </c>
      <c r="B351" s="105"/>
      <c r="C351" s="105"/>
      <c r="D351" s="105"/>
      <c r="E351" s="105"/>
      <c r="F351" s="726">
        <f>F354</f>
        <v>5087.18</v>
      </c>
      <c r="G351" s="280"/>
      <c r="H351" s="280"/>
      <c r="I351" s="281"/>
      <c r="J351" s="251"/>
      <c r="K351" s="197"/>
      <c r="L351" s="251"/>
      <c r="M351" s="251"/>
      <c r="N351" s="251"/>
    </row>
    <row r="352" spans="1:17" x14ac:dyDescent="0.25">
      <c r="A352" s="718" t="s">
        <v>276</v>
      </c>
      <c r="B352" s="719"/>
      <c r="C352" s="719"/>
      <c r="D352" s="719"/>
      <c r="E352" s="720"/>
      <c r="F352" s="726"/>
      <c r="G352" s="280">
        <f>G354</f>
        <v>30000</v>
      </c>
      <c r="H352" s="280">
        <f>H354</f>
        <v>-5000</v>
      </c>
      <c r="I352" s="282">
        <f>G352+H352</f>
        <v>25000</v>
      </c>
      <c r="J352" s="251"/>
      <c r="K352" s="197">
        <f t="shared" ref="K352:K357" si="81">I352+J352</f>
        <v>25000</v>
      </c>
      <c r="L352" s="251"/>
      <c r="M352" s="251"/>
      <c r="N352" s="251">
        <f>N357</f>
        <v>13170.69</v>
      </c>
    </row>
    <row r="353" spans="1:15" x14ac:dyDescent="0.25">
      <c r="A353" s="95"/>
      <c r="B353" s="60"/>
      <c r="C353" s="60"/>
      <c r="D353" s="60"/>
      <c r="E353" s="60"/>
      <c r="F353" s="73"/>
      <c r="G353" s="73"/>
      <c r="H353" s="73"/>
      <c r="I353" s="73"/>
      <c r="J353" s="73"/>
      <c r="K353" s="155"/>
      <c r="L353" s="73"/>
      <c r="M353" s="73"/>
      <c r="N353" s="73"/>
    </row>
    <row r="354" spans="1:15" x14ac:dyDescent="0.25">
      <c r="A354" s="97">
        <v>4</v>
      </c>
      <c r="B354" s="63" t="s">
        <v>5</v>
      </c>
      <c r="C354" s="63"/>
      <c r="D354" s="63"/>
      <c r="E354" s="63"/>
      <c r="F354" s="79">
        <f t="shared" ref="F354:H356" si="82">F355</f>
        <v>5087.18</v>
      </c>
      <c r="G354" s="79">
        <f t="shared" si="82"/>
        <v>30000</v>
      </c>
      <c r="H354" s="79">
        <f t="shared" si="82"/>
        <v>-5000</v>
      </c>
      <c r="I354" s="79">
        <f>G354+H354</f>
        <v>25000</v>
      </c>
      <c r="J354" s="79"/>
      <c r="K354" s="155">
        <f t="shared" si="81"/>
        <v>25000</v>
      </c>
      <c r="L354" s="79"/>
      <c r="M354" s="79"/>
      <c r="N354" s="79"/>
    </row>
    <row r="355" spans="1:15" x14ac:dyDescent="0.25">
      <c r="A355" s="97">
        <v>42</v>
      </c>
      <c r="B355" s="63" t="s">
        <v>277</v>
      </c>
      <c r="C355" s="63"/>
      <c r="D355" s="63"/>
      <c r="E355" s="63"/>
      <c r="F355" s="79">
        <f t="shared" si="82"/>
        <v>5087.18</v>
      </c>
      <c r="G355" s="79">
        <f t="shared" si="82"/>
        <v>30000</v>
      </c>
      <c r="H355" s="79">
        <f t="shared" si="82"/>
        <v>-5000</v>
      </c>
      <c r="I355" s="79">
        <f t="shared" ref="I355:I357" si="83">G355+H355</f>
        <v>25000</v>
      </c>
      <c r="J355" s="79"/>
      <c r="K355" s="155">
        <f t="shared" si="81"/>
        <v>25000</v>
      </c>
      <c r="L355" s="79"/>
      <c r="M355" s="79"/>
      <c r="N355" s="79"/>
    </row>
    <row r="356" spans="1:15" x14ac:dyDescent="0.25">
      <c r="A356" s="97">
        <v>421</v>
      </c>
      <c r="B356" s="63" t="s">
        <v>182</v>
      </c>
      <c r="C356" s="63"/>
      <c r="D356" s="63"/>
      <c r="E356" s="63"/>
      <c r="F356" s="79">
        <f t="shared" si="82"/>
        <v>5087.18</v>
      </c>
      <c r="G356" s="79">
        <f t="shared" si="82"/>
        <v>30000</v>
      </c>
      <c r="H356" s="79">
        <f t="shared" si="82"/>
        <v>-5000</v>
      </c>
      <c r="I356" s="79">
        <f t="shared" si="83"/>
        <v>25000</v>
      </c>
      <c r="J356" s="79"/>
      <c r="K356" s="155">
        <f t="shared" si="81"/>
        <v>25000</v>
      </c>
      <c r="L356" s="79"/>
      <c r="M356" s="79"/>
      <c r="N356" s="79"/>
    </row>
    <row r="357" spans="1:15" x14ac:dyDescent="0.25">
      <c r="A357" s="98">
        <v>4214</v>
      </c>
      <c r="B357" s="62" t="s">
        <v>278</v>
      </c>
      <c r="F357" s="73">
        <v>5087.18</v>
      </c>
      <c r="G357" s="73">
        <v>30000</v>
      </c>
      <c r="H357" s="73">
        <f>-3000-2000</f>
        <v>-5000</v>
      </c>
      <c r="I357" s="73">
        <f t="shared" si="83"/>
        <v>25000</v>
      </c>
      <c r="J357" s="73"/>
      <c r="K357" s="154">
        <f t="shared" si="81"/>
        <v>25000</v>
      </c>
      <c r="L357" s="73">
        <v>7000</v>
      </c>
      <c r="M357" s="73"/>
      <c r="N357" s="73">
        <v>13170.69</v>
      </c>
    </row>
    <row r="358" spans="1:15" x14ac:dyDescent="0.25">
      <c r="A358" s="98"/>
      <c r="B358" s="62"/>
      <c r="F358" s="73"/>
      <c r="G358" s="73"/>
      <c r="H358" s="73"/>
      <c r="I358" s="73"/>
      <c r="J358" s="73"/>
      <c r="K358" s="155"/>
      <c r="L358" s="73"/>
      <c r="M358" s="73"/>
      <c r="N358" s="73"/>
    </row>
    <row r="359" spans="1:15" x14ac:dyDescent="0.25">
      <c r="A359" s="77" t="s">
        <v>89</v>
      </c>
      <c r="B359" s="77"/>
      <c r="C359" s="77"/>
      <c r="D359" s="77"/>
      <c r="E359" s="77"/>
      <c r="F359" s="78">
        <f>F361+F375+F387</f>
        <v>7097.1399999999994</v>
      </c>
      <c r="G359" s="78">
        <f>G361+G375+G387</f>
        <v>27240</v>
      </c>
      <c r="H359" s="78">
        <f>H361+H375+H387</f>
        <v>-1000</v>
      </c>
      <c r="I359" s="78">
        <f>I361+I375+I387</f>
        <v>26240</v>
      </c>
      <c r="J359" s="78">
        <f t="shared" ref="J359:K359" si="84">J361+J375+J387</f>
        <v>2000</v>
      </c>
      <c r="K359" s="78">
        <f t="shared" si="84"/>
        <v>28240</v>
      </c>
      <c r="L359" s="363"/>
      <c r="M359" s="363"/>
      <c r="N359" s="363"/>
    </row>
    <row r="360" spans="1:15" x14ac:dyDescent="0.25">
      <c r="A360" s="185" t="s">
        <v>454</v>
      </c>
      <c r="B360" s="182"/>
      <c r="C360" s="182"/>
      <c r="D360" s="183"/>
      <c r="E360" s="184"/>
      <c r="F360" s="184"/>
      <c r="G360" s="184"/>
      <c r="H360" s="184"/>
      <c r="I360" s="184"/>
      <c r="J360" s="184"/>
      <c r="K360" s="155"/>
      <c r="L360" s="184"/>
      <c r="M360" s="184"/>
      <c r="N360" s="184"/>
      <c r="O360" s="192"/>
    </row>
    <row r="361" spans="1:15" x14ac:dyDescent="0.25">
      <c r="A361" s="102" t="s">
        <v>123</v>
      </c>
      <c r="B361" s="102"/>
      <c r="C361" s="102"/>
      <c r="D361" s="102"/>
      <c r="E361" s="102"/>
      <c r="F361" s="94">
        <f>F363</f>
        <v>5147.2299999999996</v>
      </c>
      <c r="G361" s="94">
        <f>G363</f>
        <v>16540</v>
      </c>
      <c r="H361" s="94">
        <f>H363</f>
        <v>-2000</v>
      </c>
      <c r="I361" s="249">
        <f>G361+H361</f>
        <v>14540</v>
      </c>
      <c r="J361" s="249">
        <f>J366</f>
        <v>2000</v>
      </c>
      <c r="K361" s="197">
        <f>I361+J361</f>
        <v>16540</v>
      </c>
      <c r="L361" s="249"/>
      <c r="M361" s="249"/>
      <c r="N361" s="249">
        <f>N366+N369+N372</f>
        <v>11513.17</v>
      </c>
    </row>
    <row r="362" spans="1:15" x14ac:dyDescent="0.25">
      <c r="A362" s="98"/>
      <c r="B362" s="62"/>
      <c r="F362" s="73"/>
      <c r="G362" s="73"/>
      <c r="H362" s="73"/>
      <c r="I362" s="73"/>
      <c r="J362" s="73"/>
      <c r="K362" s="155"/>
      <c r="L362" s="73"/>
      <c r="M362" s="73"/>
      <c r="N362" s="73"/>
    </row>
    <row r="363" spans="1:15" x14ac:dyDescent="0.25">
      <c r="A363" s="97">
        <v>3</v>
      </c>
      <c r="B363" s="63" t="s">
        <v>19</v>
      </c>
      <c r="C363" s="63"/>
      <c r="D363" s="63"/>
      <c r="E363" s="63"/>
      <c r="F363" s="79">
        <f>F364+F370</f>
        <v>5147.2299999999996</v>
      </c>
      <c r="G363" s="79">
        <f>G364+G370</f>
        <v>16540</v>
      </c>
      <c r="H363" s="79">
        <f>H364+H370</f>
        <v>-2000</v>
      </c>
      <c r="I363" s="79">
        <f>G363+H363</f>
        <v>14540</v>
      </c>
      <c r="J363" s="79"/>
      <c r="K363" s="155">
        <f>I363+J363</f>
        <v>14540</v>
      </c>
      <c r="L363" s="79"/>
      <c r="M363" s="79"/>
      <c r="N363" s="79"/>
    </row>
    <row r="364" spans="1:15" x14ac:dyDescent="0.25">
      <c r="A364" s="97">
        <v>32</v>
      </c>
      <c r="B364" s="63" t="s">
        <v>170</v>
      </c>
      <c r="C364" s="63"/>
      <c r="D364" s="63"/>
      <c r="E364" s="63"/>
      <c r="F364" s="79">
        <f>F365+F368</f>
        <v>4147.2299999999996</v>
      </c>
      <c r="G364" s="79">
        <f>G365+G368</f>
        <v>14140</v>
      </c>
      <c r="H364" s="79">
        <f>H365+H368</f>
        <v>-2000</v>
      </c>
      <c r="I364" s="79">
        <f t="shared" ref="I364:I372" si="85">G364+H364</f>
        <v>12140</v>
      </c>
      <c r="J364" s="79"/>
      <c r="K364" s="155">
        <f t="shared" ref="K364:K372" si="86">I364+J364</f>
        <v>12140</v>
      </c>
      <c r="L364" s="79"/>
      <c r="M364" s="79"/>
      <c r="N364" s="79"/>
    </row>
    <row r="365" spans="1:15" x14ac:dyDescent="0.25">
      <c r="A365" s="97">
        <v>323</v>
      </c>
      <c r="B365" s="63" t="s">
        <v>173</v>
      </c>
      <c r="C365" s="63"/>
      <c r="D365" s="63"/>
      <c r="E365" s="63"/>
      <c r="F365" s="79">
        <f>F366+F367</f>
        <v>3417.96</v>
      </c>
      <c r="G365" s="79">
        <f>G366+G367</f>
        <v>11500</v>
      </c>
      <c r="H365" s="79">
        <f>H366+H367</f>
        <v>-2000</v>
      </c>
      <c r="I365" s="79">
        <f t="shared" si="85"/>
        <v>9500</v>
      </c>
      <c r="J365" s="79"/>
      <c r="K365" s="155">
        <f t="shared" si="86"/>
        <v>9500</v>
      </c>
      <c r="L365" s="79"/>
      <c r="M365" s="79"/>
      <c r="N365" s="79"/>
    </row>
    <row r="366" spans="1:15" x14ac:dyDescent="0.25">
      <c r="A366" s="98">
        <v>3234</v>
      </c>
      <c r="B366" s="62" t="s">
        <v>592</v>
      </c>
      <c r="F366" s="73">
        <v>3417.96</v>
      </c>
      <c r="G366" s="73">
        <v>10000</v>
      </c>
      <c r="H366" s="73">
        <v>-2000</v>
      </c>
      <c r="I366" s="73">
        <f t="shared" si="85"/>
        <v>8000</v>
      </c>
      <c r="J366" s="250">
        <v>2000</v>
      </c>
      <c r="K366" s="154">
        <f t="shared" si="86"/>
        <v>10000</v>
      </c>
      <c r="L366" s="73">
        <v>2000</v>
      </c>
      <c r="M366" s="73"/>
      <c r="N366" s="73">
        <v>7820.6</v>
      </c>
    </row>
    <row r="367" spans="1:15" x14ac:dyDescent="0.25">
      <c r="A367" s="98">
        <v>3239</v>
      </c>
      <c r="B367" s="62" t="s">
        <v>357</v>
      </c>
      <c r="F367" s="73"/>
      <c r="G367" s="73">
        <v>1500</v>
      </c>
      <c r="H367" s="73"/>
      <c r="I367" s="73">
        <f t="shared" si="85"/>
        <v>1500</v>
      </c>
      <c r="J367" s="73"/>
      <c r="K367" s="154">
        <f t="shared" si="86"/>
        <v>1500</v>
      </c>
      <c r="L367" s="73"/>
      <c r="M367" s="73"/>
      <c r="N367" s="73"/>
    </row>
    <row r="368" spans="1:15" x14ac:dyDescent="0.25">
      <c r="A368" s="97">
        <v>329</v>
      </c>
      <c r="B368" s="749" t="s">
        <v>190</v>
      </c>
      <c r="C368" s="749"/>
      <c r="D368" s="749"/>
      <c r="E368" s="749"/>
      <c r="F368" s="79">
        <f>F369</f>
        <v>729.27</v>
      </c>
      <c r="G368" s="79">
        <f>G369</f>
        <v>2640</v>
      </c>
      <c r="H368" s="79">
        <f>H369</f>
        <v>0</v>
      </c>
      <c r="I368" s="79">
        <f t="shared" si="85"/>
        <v>2640</v>
      </c>
      <c r="J368" s="79"/>
      <c r="K368" s="155">
        <f t="shared" si="86"/>
        <v>2640</v>
      </c>
      <c r="L368" s="79"/>
      <c r="M368" s="79"/>
      <c r="N368" s="79"/>
    </row>
    <row r="369" spans="1:15" x14ac:dyDescent="0.25">
      <c r="A369" s="98">
        <v>3295</v>
      </c>
      <c r="B369" s="700" t="s">
        <v>355</v>
      </c>
      <c r="C369" s="700"/>
      <c r="D369" s="700"/>
      <c r="E369" s="700"/>
      <c r="F369" s="73">
        <v>729.27</v>
      </c>
      <c r="G369" s="73">
        <f>220*12</f>
        <v>2640</v>
      </c>
      <c r="H369" s="73"/>
      <c r="I369" s="73">
        <f t="shared" si="85"/>
        <v>2640</v>
      </c>
      <c r="J369" s="73"/>
      <c r="K369" s="154">
        <f t="shared" si="86"/>
        <v>2640</v>
      </c>
      <c r="L369" s="73"/>
      <c r="M369" s="73"/>
      <c r="N369" s="73">
        <v>1492.57</v>
      </c>
      <c r="O369" s="7" t="s">
        <v>502</v>
      </c>
    </row>
    <row r="370" spans="1:15" x14ac:dyDescent="0.25">
      <c r="A370" s="97">
        <v>36</v>
      </c>
      <c r="B370" s="63" t="s">
        <v>257</v>
      </c>
      <c r="C370" s="63"/>
      <c r="D370" s="63"/>
      <c r="E370" s="63"/>
      <c r="F370" s="79">
        <f t="shared" ref="F370:H371" si="87">F371</f>
        <v>1000</v>
      </c>
      <c r="G370" s="79">
        <f t="shared" si="87"/>
        <v>2400</v>
      </c>
      <c r="H370" s="79">
        <f t="shared" si="87"/>
        <v>0</v>
      </c>
      <c r="I370" s="79">
        <f t="shared" si="85"/>
        <v>2400</v>
      </c>
      <c r="J370" s="79"/>
      <c r="K370" s="155">
        <f t="shared" si="86"/>
        <v>2400</v>
      </c>
      <c r="L370" s="79"/>
      <c r="M370" s="79"/>
      <c r="N370" s="79"/>
    </row>
    <row r="371" spans="1:15" x14ac:dyDescent="0.25">
      <c r="A371" s="97">
        <v>363</v>
      </c>
      <c r="B371" s="63" t="s">
        <v>257</v>
      </c>
      <c r="C371" s="63"/>
      <c r="D371" s="63"/>
      <c r="E371" s="63"/>
      <c r="F371" s="79">
        <f t="shared" si="87"/>
        <v>1000</v>
      </c>
      <c r="G371" s="79">
        <f t="shared" si="87"/>
        <v>2400</v>
      </c>
      <c r="H371" s="79">
        <f t="shared" si="87"/>
        <v>0</v>
      </c>
      <c r="I371" s="79">
        <f t="shared" si="85"/>
        <v>2400</v>
      </c>
      <c r="J371" s="79"/>
      <c r="K371" s="155">
        <f t="shared" si="86"/>
        <v>2400</v>
      </c>
      <c r="L371" s="79"/>
      <c r="M371" s="79"/>
      <c r="N371" s="79"/>
    </row>
    <row r="372" spans="1:15" x14ac:dyDescent="0.25">
      <c r="A372" s="98">
        <v>3631</v>
      </c>
      <c r="B372" s="62" t="s">
        <v>279</v>
      </c>
      <c r="F372" s="73">
        <v>1000</v>
      </c>
      <c r="G372" s="73">
        <f>200*12</f>
        <v>2400</v>
      </c>
      <c r="H372" s="73"/>
      <c r="I372" s="73">
        <f t="shared" si="85"/>
        <v>2400</v>
      </c>
      <c r="J372" s="73"/>
      <c r="K372" s="154">
        <f t="shared" si="86"/>
        <v>2400</v>
      </c>
      <c r="L372" s="73"/>
      <c r="M372" s="73"/>
      <c r="N372" s="73">
        <v>2200</v>
      </c>
      <c r="O372" s="7" t="s">
        <v>501</v>
      </c>
    </row>
    <row r="373" spans="1:15" x14ac:dyDescent="0.25">
      <c r="A373" s="98"/>
      <c r="B373" s="62"/>
      <c r="F373" s="73"/>
      <c r="G373" s="73"/>
      <c r="H373" s="73"/>
      <c r="I373" s="73"/>
      <c r="J373" s="73"/>
      <c r="K373" s="155"/>
      <c r="L373" s="73"/>
      <c r="M373" s="73"/>
      <c r="N373" s="73"/>
    </row>
    <row r="374" spans="1:15" x14ac:dyDescent="0.25">
      <c r="A374" s="185" t="s">
        <v>455</v>
      </c>
      <c r="B374" s="182"/>
      <c r="C374" s="182"/>
      <c r="D374" s="183"/>
      <c r="E374" s="184"/>
      <c r="F374" s="184"/>
      <c r="G374" s="184"/>
      <c r="H374" s="184"/>
      <c r="I374" s="184"/>
      <c r="J374" s="184"/>
      <c r="K374" s="155"/>
      <c r="L374" s="184"/>
      <c r="M374" s="184"/>
      <c r="N374" s="184"/>
      <c r="O374" s="192"/>
    </row>
    <row r="375" spans="1:15" x14ac:dyDescent="0.25">
      <c r="A375" s="105" t="s">
        <v>568</v>
      </c>
      <c r="B375" s="105"/>
      <c r="C375" s="105"/>
      <c r="D375" s="105"/>
      <c r="E375" s="105"/>
      <c r="F375" s="707">
        <f>F378</f>
        <v>162.5</v>
      </c>
      <c r="G375" s="707">
        <f>G378</f>
        <v>9600</v>
      </c>
      <c r="H375" s="723">
        <f>H378</f>
        <v>0</v>
      </c>
      <c r="I375" s="721">
        <f>G375+H375</f>
        <v>9600</v>
      </c>
      <c r="J375" s="788"/>
      <c r="K375" s="742">
        <f>I375+J375</f>
        <v>9600</v>
      </c>
      <c r="L375" s="251"/>
      <c r="M375" s="251"/>
      <c r="N375" s="251"/>
    </row>
    <row r="376" spans="1:15" x14ac:dyDescent="0.25">
      <c r="A376" s="718" t="s">
        <v>280</v>
      </c>
      <c r="B376" s="719"/>
      <c r="C376" s="719"/>
      <c r="D376" s="719"/>
      <c r="E376" s="720"/>
      <c r="F376" s="708"/>
      <c r="G376" s="708"/>
      <c r="H376" s="724"/>
      <c r="I376" s="722"/>
      <c r="J376" s="741"/>
      <c r="K376" s="742"/>
      <c r="L376" s="251"/>
      <c r="M376" s="251"/>
      <c r="N376" s="251">
        <f>N381+N384</f>
        <v>666.5</v>
      </c>
    </row>
    <row r="377" spans="1:15" x14ac:dyDescent="0.25">
      <c r="A377" s="109"/>
      <c r="B377" s="110"/>
      <c r="C377" s="110"/>
      <c r="D377" s="110"/>
      <c r="E377" s="110"/>
      <c r="F377" s="127"/>
      <c r="G377" s="127"/>
      <c r="H377" s="127"/>
      <c r="I377" s="127"/>
      <c r="J377" s="127"/>
      <c r="K377" s="155"/>
      <c r="L377" s="127"/>
      <c r="M377" s="127"/>
      <c r="N377" s="127"/>
    </row>
    <row r="378" spans="1:15" x14ac:dyDescent="0.25">
      <c r="A378" s="121">
        <v>3</v>
      </c>
      <c r="B378" s="125" t="s">
        <v>19</v>
      </c>
      <c r="C378" s="125"/>
      <c r="D378" s="125"/>
      <c r="E378" s="125"/>
      <c r="F378" s="114">
        <f>F379</f>
        <v>162.5</v>
      </c>
      <c r="G378" s="114">
        <f>G379</f>
        <v>9600</v>
      </c>
      <c r="H378" s="114">
        <f>H379</f>
        <v>0</v>
      </c>
      <c r="I378" s="114">
        <f>G378+H378</f>
        <v>9600</v>
      </c>
      <c r="J378" s="114"/>
      <c r="K378" s="155">
        <f>I378+J378</f>
        <v>9600</v>
      </c>
      <c r="L378" s="114"/>
      <c r="M378" s="114"/>
      <c r="N378" s="114"/>
    </row>
    <row r="379" spans="1:15" x14ac:dyDescent="0.25">
      <c r="A379" s="97">
        <v>32</v>
      </c>
      <c r="B379" s="63" t="s">
        <v>170</v>
      </c>
      <c r="C379" s="63"/>
      <c r="D379" s="63"/>
      <c r="E379" s="63"/>
      <c r="F379" s="79">
        <f>F380+F382</f>
        <v>162.5</v>
      </c>
      <c r="G379" s="79">
        <f>G380+G382</f>
        <v>9600</v>
      </c>
      <c r="H379" s="79">
        <f>H380+H382</f>
        <v>0</v>
      </c>
      <c r="I379" s="114">
        <f t="shared" ref="I379:I384" si="88">G379+H379</f>
        <v>9600</v>
      </c>
      <c r="J379" s="114"/>
      <c r="K379" s="155">
        <f t="shared" ref="K379:K384" si="89">I379+J379</f>
        <v>9600</v>
      </c>
      <c r="L379" s="114"/>
      <c r="M379" s="114"/>
      <c r="N379" s="114"/>
    </row>
    <row r="380" spans="1:15" x14ac:dyDescent="0.25">
      <c r="A380" s="97">
        <v>322</v>
      </c>
      <c r="B380" s="61" t="s">
        <v>265</v>
      </c>
      <c r="C380" s="63"/>
      <c r="D380" s="63"/>
      <c r="E380" s="63"/>
      <c r="F380" s="79">
        <f>F381</f>
        <v>18.5</v>
      </c>
      <c r="G380" s="79">
        <f>G381</f>
        <v>100</v>
      </c>
      <c r="H380" s="79">
        <f>H381</f>
        <v>0</v>
      </c>
      <c r="I380" s="114">
        <f t="shared" si="88"/>
        <v>100</v>
      </c>
      <c r="J380" s="114"/>
      <c r="K380" s="155">
        <f t="shared" si="89"/>
        <v>100</v>
      </c>
      <c r="L380" s="114"/>
      <c r="M380" s="114"/>
      <c r="N380" s="114"/>
    </row>
    <row r="381" spans="1:15" x14ac:dyDescent="0.25">
      <c r="A381" s="100">
        <v>322</v>
      </c>
      <c r="B381" s="58" t="s">
        <v>356</v>
      </c>
      <c r="C381" s="63"/>
      <c r="D381" s="63"/>
      <c r="E381" s="63"/>
      <c r="F381" s="73">
        <v>18.5</v>
      </c>
      <c r="G381" s="73">
        <v>100</v>
      </c>
      <c r="H381" s="73"/>
      <c r="I381" s="81">
        <f t="shared" si="88"/>
        <v>100</v>
      </c>
      <c r="J381" s="81"/>
      <c r="K381" s="154">
        <f t="shared" si="89"/>
        <v>100</v>
      </c>
      <c r="L381" s="81"/>
      <c r="M381" s="81"/>
      <c r="N381" s="81">
        <v>18.5</v>
      </c>
    </row>
    <row r="382" spans="1:15" x14ac:dyDescent="0.25">
      <c r="A382" s="97">
        <v>323</v>
      </c>
      <c r="B382" s="63" t="s">
        <v>173</v>
      </c>
      <c r="C382" s="63"/>
      <c r="D382" s="63"/>
      <c r="E382" s="63"/>
      <c r="F382" s="79">
        <f>F383+F384</f>
        <v>144</v>
      </c>
      <c r="G382" s="79">
        <f>G383+G384</f>
        <v>9500</v>
      </c>
      <c r="H382" s="79">
        <f>H383+H384</f>
        <v>0</v>
      </c>
      <c r="I382" s="114">
        <f t="shared" si="88"/>
        <v>9500</v>
      </c>
      <c r="J382" s="114"/>
      <c r="K382" s="155">
        <f t="shared" si="89"/>
        <v>9500</v>
      </c>
      <c r="L382" s="114"/>
      <c r="M382" s="114"/>
      <c r="N382" s="114"/>
    </row>
    <row r="383" spans="1:15" x14ac:dyDescent="0.25">
      <c r="A383" s="100">
        <v>3233</v>
      </c>
      <c r="B383" s="62" t="s">
        <v>364</v>
      </c>
      <c r="C383" s="62"/>
      <c r="D383" s="62"/>
      <c r="E383" s="62"/>
      <c r="F383" s="73"/>
      <c r="G383" s="73">
        <v>8000</v>
      </c>
      <c r="H383" s="73"/>
      <c r="I383" s="81">
        <f t="shared" si="88"/>
        <v>8000</v>
      </c>
      <c r="J383" s="81"/>
      <c r="K383" s="154">
        <f t="shared" si="89"/>
        <v>8000</v>
      </c>
      <c r="L383" s="81"/>
      <c r="M383" s="81"/>
      <c r="N383" s="81"/>
    </row>
    <row r="384" spans="1:15" x14ac:dyDescent="0.25">
      <c r="A384" s="100" t="s">
        <v>566</v>
      </c>
      <c r="B384" s="62"/>
      <c r="C384" s="62"/>
      <c r="D384" s="62"/>
      <c r="E384" s="62"/>
      <c r="F384" s="73">
        <v>144</v>
      </c>
      <c r="G384" s="73">
        <v>1500</v>
      </c>
      <c r="H384" s="73"/>
      <c r="I384" s="81">
        <f t="shared" si="88"/>
        <v>1500</v>
      </c>
      <c r="J384" s="81"/>
      <c r="K384" s="154">
        <f t="shared" si="89"/>
        <v>1500</v>
      </c>
      <c r="L384" s="81">
        <v>-500</v>
      </c>
      <c r="M384" s="81"/>
      <c r="N384" s="81">
        <v>648</v>
      </c>
    </row>
    <row r="385" spans="1:15" x14ac:dyDescent="0.25">
      <c r="A385" s="100"/>
      <c r="B385" s="62"/>
      <c r="C385" s="62"/>
      <c r="D385" s="62"/>
      <c r="E385" s="62"/>
      <c r="F385" s="73"/>
      <c r="G385" s="73"/>
      <c r="H385" s="73"/>
      <c r="I385" s="73"/>
      <c r="J385" s="73"/>
      <c r="K385" s="155"/>
      <c r="L385" s="73"/>
      <c r="M385" s="73"/>
      <c r="N385" s="73"/>
    </row>
    <row r="386" spans="1:15" x14ac:dyDescent="0.25">
      <c r="A386" s="185" t="s">
        <v>456</v>
      </c>
      <c r="B386" s="182"/>
      <c r="C386" s="182"/>
      <c r="D386" s="183"/>
      <c r="E386" s="184"/>
      <c r="F386" s="184"/>
      <c r="G386" s="184"/>
      <c r="H386" s="184"/>
      <c r="I386" s="184"/>
      <c r="J386" s="184"/>
      <c r="K386" s="155"/>
      <c r="L386" s="184"/>
      <c r="M386" s="184"/>
      <c r="N386" s="184"/>
      <c r="O386" s="192"/>
    </row>
    <row r="387" spans="1:15" x14ac:dyDescent="0.25">
      <c r="A387" s="715" t="s">
        <v>281</v>
      </c>
      <c r="B387" s="716"/>
      <c r="C387" s="716"/>
      <c r="D387" s="716"/>
      <c r="E387" s="717"/>
      <c r="F387" s="94">
        <f>F389+F393</f>
        <v>1787.4099999999999</v>
      </c>
      <c r="G387" s="94">
        <f>G389+G393</f>
        <v>1100</v>
      </c>
      <c r="H387" s="94">
        <f>H389+H393</f>
        <v>1000</v>
      </c>
      <c r="I387" s="249">
        <f>G387+H387</f>
        <v>2100</v>
      </c>
      <c r="J387" s="249"/>
      <c r="K387" s="197">
        <f>I387+J387</f>
        <v>2100</v>
      </c>
      <c r="L387" s="249"/>
      <c r="M387" s="249"/>
      <c r="N387" s="249">
        <f>N397</f>
        <v>875</v>
      </c>
    </row>
    <row r="388" spans="1:15" x14ac:dyDescent="0.25">
      <c r="A388" s="121"/>
      <c r="B388" s="125"/>
      <c r="C388" s="125"/>
      <c r="D388" s="125"/>
      <c r="E388" s="125"/>
      <c r="F388" s="114"/>
      <c r="G388" s="114"/>
      <c r="H388" s="114"/>
      <c r="I388" s="114"/>
      <c r="J388" s="114"/>
      <c r="K388" s="155"/>
      <c r="L388" s="114"/>
      <c r="M388" s="114"/>
      <c r="N388" s="114"/>
    </row>
    <row r="389" spans="1:15" x14ac:dyDescent="0.25">
      <c r="A389" s="97">
        <v>3</v>
      </c>
      <c r="B389" s="63" t="s">
        <v>19</v>
      </c>
      <c r="C389" s="125"/>
      <c r="D389" s="125"/>
      <c r="E389" s="125"/>
      <c r="F389" s="114">
        <f t="shared" ref="F389:H391" si="90">F390</f>
        <v>0</v>
      </c>
      <c r="G389" s="114">
        <f t="shared" si="90"/>
        <v>100</v>
      </c>
      <c r="H389" s="114">
        <f t="shared" si="90"/>
        <v>0</v>
      </c>
      <c r="I389" s="114">
        <f>G389+H389</f>
        <v>100</v>
      </c>
      <c r="J389" s="114"/>
      <c r="K389" s="155">
        <f>I389+J389</f>
        <v>100</v>
      </c>
      <c r="L389" s="114"/>
      <c r="M389" s="114"/>
      <c r="N389" s="114"/>
    </row>
    <row r="390" spans="1:15" x14ac:dyDescent="0.25">
      <c r="A390" s="97">
        <v>32</v>
      </c>
      <c r="B390" s="63" t="s">
        <v>170</v>
      </c>
      <c r="C390" s="125"/>
      <c r="D390" s="125"/>
      <c r="E390" s="125"/>
      <c r="F390" s="114">
        <f t="shared" si="90"/>
        <v>0</v>
      </c>
      <c r="G390" s="114">
        <f t="shared" si="90"/>
        <v>100</v>
      </c>
      <c r="H390" s="114">
        <f t="shared" si="90"/>
        <v>0</v>
      </c>
      <c r="I390" s="114">
        <f t="shared" ref="I390:I397" si="91">G390+H390</f>
        <v>100</v>
      </c>
      <c r="J390" s="114"/>
      <c r="K390" s="155">
        <f t="shared" ref="K390:K397" si="92">I390+J390</f>
        <v>100</v>
      </c>
      <c r="L390" s="114"/>
      <c r="M390" s="114"/>
      <c r="N390" s="114"/>
    </row>
    <row r="391" spans="1:15" x14ac:dyDescent="0.25">
      <c r="A391" s="97">
        <v>323</v>
      </c>
      <c r="B391" s="63" t="s">
        <v>173</v>
      </c>
      <c r="C391" s="125"/>
      <c r="D391" s="125"/>
      <c r="E391" s="125"/>
      <c r="F391" s="114">
        <f t="shared" si="90"/>
        <v>0</v>
      </c>
      <c r="G391" s="114">
        <f t="shared" si="90"/>
        <v>100</v>
      </c>
      <c r="H391" s="114">
        <f t="shared" si="90"/>
        <v>0</v>
      </c>
      <c r="I391" s="114">
        <f t="shared" si="91"/>
        <v>100</v>
      </c>
      <c r="J391" s="114"/>
      <c r="K391" s="155">
        <f t="shared" si="92"/>
        <v>100</v>
      </c>
      <c r="L391" s="114"/>
      <c r="M391" s="114"/>
      <c r="N391" s="114"/>
    </row>
    <row r="392" spans="1:15" x14ac:dyDescent="0.25">
      <c r="A392" s="100">
        <v>3232</v>
      </c>
      <c r="B392" s="58" t="s">
        <v>569</v>
      </c>
      <c r="C392" s="125"/>
      <c r="D392" s="125"/>
      <c r="E392" s="125"/>
      <c r="F392" s="81"/>
      <c r="G392" s="81">
        <v>100</v>
      </c>
      <c r="H392" s="81"/>
      <c r="I392" s="81">
        <f t="shared" si="91"/>
        <v>100</v>
      </c>
      <c r="J392" s="81"/>
      <c r="K392" s="154">
        <f t="shared" si="92"/>
        <v>100</v>
      </c>
      <c r="L392" s="81">
        <v>-100</v>
      </c>
      <c r="M392" s="81"/>
      <c r="N392" s="81"/>
    </row>
    <row r="393" spans="1:15" x14ac:dyDescent="0.25">
      <c r="A393" s="97">
        <v>4</v>
      </c>
      <c r="B393" s="63" t="s">
        <v>5</v>
      </c>
      <c r="C393" s="125"/>
      <c r="D393" s="125"/>
      <c r="E393" s="125"/>
      <c r="F393" s="114">
        <f t="shared" ref="F393:H394" si="93">F394</f>
        <v>1787.4099999999999</v>
      </c>
      <c r="G393" s="114">
        <f t="shared" si="93"/>
        <v>1000</v>
      </c>
      <c r="H393" s="114">
        <f t="shared" si="93"/>
        <v>1000</v>
      </c>
      <c r="I393" s="114">
        <f t="shared" si="91"/>
        <v>2000</v>
      </c>
      <c r="J393" s="114"/>
      <c r="K393" s="155">
        <f t="shared" si="92"/>
        <v>2000</v>
      </c>
      <c r="L393" s="114"/>
      <c r="M393" s="114"/>
      <c r="N393" s="114"/>
    </row>
    <row r="394" spans="1:15" x14ac:dyDescent="0.25">
      <c r="A394" s="97">
        <v>42</v>
      </c>
      <c r="B394" s="792" t="s">
        <v>267</v>
      </c>
      <c r="C394" s="793"/>
      <c r="D394" s="793"/>
      <c r="E394" s="793"/>
      <c r="F394" s="114">
        <f t="shared" si="93"/>
        <v>1787.4099999999999</v>
      </c>
      <c r="G394" s="114">
        <f t="shared" si="93"/>
        <v>1000</v>
      </c>
      <c r="H394" s="114">
        <f t="shared" si="93"/>
        <v>1000</v>
      </c>
      <c r="I394" s="114">
        <f t="shared" si="91"/>
        <v>2000</v>
      </c>
      <c r="J394" s="114"/>
      <c r="K394" s="155">
        <f t="shared" si="92"/>
        <v>2000</v>
      </c>
      <c r="L394" s="114"/>
      <c r="M394" s="114"/>
      <c r="N394" s="114"/>
    </row>
    <row r="395" spans="1:15" x14ac:dyDescent="0.25">
      <c r="A395" s="97">
        <v>422</v>
      </c>
      <c r="B395" s="63" t="s">
        <v>183</v>
      </c>
      <c r="C395" s="63"/>
      <c r="D395" s="63"/>
      <c r="E395" s="63"/>
      <c r="F395" s="79">
        <f>F396+F397</f>
        <v>1787.4099999999999</v>
      </c>
      <c r="G395" s="79">
        <f>G396+G397</f>
        <v>1000</v>
      </c>
      <c r="H395" s="79">
        <f>H396+H397</f>
        <v>1000</v>
      </c>
      <c r="I395" s="114">
        <f t="shared" si="91"/>
        <v>2000</v>
      </c>
      <c r="J395" s="114"/>
      <c r="K395" s="155">
        <f t="shared" si="92"/>
        <v>2000</v>
      </c>
      <c r="L395" s="114"/>
      <c r="M395" s="114"/>
      <c r="N395" s="114"/>
    </row>
    <row r="396" spans="1:15" x14ac:dyDescent="0.25">
      <c r="A396" s="100">
        <v>4227</v>
      </c>
      <c r="B396" s="62" t="s">
        <v>395</v>
      </c>
      <c r="C396" s="62"/>
      <c r="D396" s="62"/>
      <c r="E396" s="62"/>
      <c r="F396" s="73">
        <v>912.41</v>
      </c>
      <c r="G396" s="73">
        <v>500</v>
      </c>
      <c r="H396" s="73">
        <v>500</v>
      </c>
      <c r="I396" s="81">
        <f t="shared" si="91"/>
        <v>1000</v>
      </c>
      <c r="J396" s="81"/>
      <c r="K396" s="154">
        <f t="shared" si="92"/>
        <v>1000</v>
      </c>
      <c r="L396" s="81">
        <v>-1000</v>
      </c>
      <c r="M396" s="81"/>
      <c r="N396" s="81"/>
    </row>
    <row r="397" spans="1:15" x14ac:dyDescent="0.25">
      <c r="A397" s="100">
        <v>4223</v>
      </c>
      <c r="B397" s="62" t="s">
        <v>394</v>
      </c>
      <c r="C397" s="62"/>
      <c r="D397" s="62"/>
      <c r="E397" s="62"/>
      <c r="F397" s="73">
        <v>875</v>
      </c>
      <c r="G397" s="73">
        <v>500</v>
      </c>
      <c r="H397" s="73">
        <v>500</v>
      </c>
      <c r="I397" s="81">
        <f t="shared" si="91"/>
        <v>1000</v>
      </c>
      <c r="J397" s="81"/>
      <c r="K397" s="154">
        <f t="shared" si="92"/>
        <v>1000</v>
      </c>
      <c r="L397" s="81">
        <v>-100</v>
      </c>
      <c r="M397" s="81"/>
      <c r="N397" s="81">
        <v>875</v>
      </c>
    </row>
    <row r="398" spans="1:15" x14ac:dyDescent="0.25">
      <c r="A398" s="98"/>
      <c r="B398" s="62"/>
      <c r="C398" s="62"/>
      <c r="D398" s="62"/>
      <c r="E398" s="62"/>
      <c r="F398" s="73"/>
      <c r="G398" s="73"/>
      <c r="H398" s="73"/>
      <c r="I398" s="73"/>
      <c r="J398" s="73"/>
      <c r="K398" s="155"/>
      <c r="L398" s="73"/>
      <c r="M398" s="73"/>
      <c r="N398" s="73"/>
    </row>
    <row r="399" spans="1:15" x14ac:dyDescent="0.25">
      <c r="A399" s="77" t="s">
        <v>90</v>
      </c>
      <c r="B399" s="77"/>
      <c r="C399" s="77"/>
      <c r="D399" s="77"/>
      <c r="E399" s="77"/>
      <c r="F399" s="78">
        <f>F401</f>
        <v>4705.47</v>
      </c>
      <c r="G399" s="78">
        <f>G401</f>
        <v>14600</v>
      </c>
      <c r="H399" s="78">
        <f t="shared" ref="H399:K399" si="94">H401</f>
        <v>2200</v>
      </c>
      <c r="I399" s="78">
        <f t="shared" si="94"/>
        <v>16800</v>
      </c>
      <c r="J399" s="78">
        <f t="shared" si="94"/>
        <v>0</v>
      </c>
      <c r="K399" s="78">
        <f t="shared" si="94"/>
        <v>16800</v>
      </c>
      <c r="L399" s="363"/>
      <c r="M399" s="363"/>
      <c r="N399" s="363"/>
    </row>
    <row r="400" spans="1:15" x14ac:dyDescent="0.25">
      <c r="A400" s="185" t="s">
        <v>457</v>
      </c>
      <c r="B400" s="182"/>
      <c r="C400" s="182"/>
      <c r="D400" s="183"/>
      <c r="E400" s="184"/>
      <c r="F400" s="184"/>
      <c r="G400" s="184"/>
      <c r="H400" s="184"/>
      <c r="I400" s="184"/>
      <c r="J400" s="184"/>
      <c r="K400" s="155"/>
      <c r="L400" s="184"/>
      <c r="M400" s="184"/>
      <c r="N400" s="184"/>
      <c r="O400" s="192"/>
    </row>
    <row r="401" spans="1:17" x14ac:dyDescent="0.25">
      <c r="A401" s="102" t="s">
        <v>124</v>
      </c>
      <c r="B401" s="102"/>
      <c r="C401" s="102"/>
      <c r="D401" s="102"/>
      <c r="E401" s="102"/>
      <c r="F401" s="94">
        <f>F403</f>
        <v>4705.47</v>
      </c>
      <c r="G401" s="94">
        <f>G403</f>
        <v>14600</v>
      </c>
      <c r="H401" s="94">
        <f>H403</f>
        <v>2200</v>
      </c>
      <c r="I401" s="249">
        <f>G401+H401</f>
        <v>16800</v>
      </c>
      <c r="J401" s="249"/>
      <c r="K401" s="197">
        <f>I401+J401</f>
        <v>16800</v>
      </c>
      <c r="L401" s="249"/>
      <c r="M401" s="249"/>
      <c r="N401" s="249">
        <f>N406+N408+N409+N410+N413</f>
        <v>12527.550000000001</v>
      </c>
    </row>
    <row r="402" spans="1:17" x14ac:dyDescent="0.25">
      <c r="A402" s="109"/>
      <c r="B402" s="110"/>
      <c r="C402" s="110"/>
      <c r="D402" s="110"/>
      <c r="E402" s="110"/>
      <c r="F402" s="73"/>
      <c r="G402" s="73"/>
      <c r="H402" s="73"/>
      <c r="I402" s="73"/>
      <c r="J402" s="73"/>
      <c r="K402" s="155"/>
      <c r="L402" s="73"/>
      <c r="M402" s="73"/>
      <c r="N402" s="73"/>
    </row>
    <row r="403" spans="1:17" x14ac:dyDescent="0.25">
      <c r="A403" s="97">
        <v>3</v>
      </c>
      <c r="B403" s="63" t="s">
        <v>19</v>
      </c>
      <c r="C403" s="63"/>
      <c r="D403" s="63"/>
      <c r="E403" s="63"/>
      <c r="F403" s="79">
        <f>F404+F411</f>
        <v>4705.47</v>
      </c>
      <c r="G403" s="79">
        <f>G404+G411</f>
        <v>14600</v>
      </c>
      <c r="H403" s="79">
        <f>H404+H411</f>
        <v>2200</v>
      </c>
      <c r="I403" s="79">
        <f>G403+H403</f>
        <v>16800</v>
      </c>
      <c r="J403" s="79"/>
      <c r="K403" s="155">
        <f>I403+J403</f>
        <v>16800</v>
      </c>
      <c r="L403" s="79"/>
      <c r="M403" s="79"/>
      <c r="N403" s="79"/>
      <c r="O403" s="62"/>
    </row>
    <row r="404" spans="1:17" x14ac:dyDescent="0.25">
      <c r="A404" s="97">
        <v>32</v>
      </c>
      <c r="B404" s="63" t="s">
        <v>170</v>
      </c>
      <c r="C404" s="63"/>
      <c r="D404" s="63"/>
      <c r="E404" s="63"/>
      <c r="F404" s="79">
        <f>F405</f>
        <v>4665.63</v>
      </c>
      <c r="G404" s="79">
        <f>G405</f>
        <v>14300</v>
      </c>
      <c r="H404" s="79">
        <f>H405</f>
        <v>2200</v>
      </c>
      <c r="I404" s="79">
        <f t="shared" ref="I404:I413" si="95">G404+H404</f>
        <v>16500</v>
      </c>
      <c r="J404" s="79"/>
      <c r="K404" s="155">
        <f t="shared" ref="K404:K413" si="96">I404+J404</f>
        <v>16500</v>
      </c>
      <c r="L404" s="79"/>
      <c r="M404" s="79"/>
      <c r="N404" s="79"/>
      <c r="O404" s="62"/>
    </row>
    <row r="405" spans="1:17" x14ac:dyDescent="0.25">
      <c r="A405" s="97">
        <v>323</v>
      </c>
      <c r="B405" s="63" t="s">
        <v>173</v>
      </c>
      <c r="C405" s="63"/>
      <c r="D405" s="63"/>
      <c r="E405" s="63"/>
      <c r="F405" s="79">
        <f>F406+F407+F408+F409+F410</f>
        <v>4665.63</v>
      </c>
      <c r="G405" s="79">
        <f>G406+G407+G408+G409+G410</f>
        <v>14300</v>
      </c>
      <c r="H405" s="79">
        <f>H406+H407+H408+H409+H410</f>
        <v>2200</v>
      </c>
      <c r="I405" s="79">
        <f t="shared" si="95"/>
        <v>16500</v>
      </c>
      <c r="J405" s="79"/>
      <c r="K405" s="155">
        <f t="shared" si="96"/>
        <v>16500</v>
      </c>
      <c r="L405" s="79"/>
      <c r="M405" s="79"/>
      <c r="N405" s="79"/>
      <c r="O405" s="62"/>
    </row>
    <row r="406" spans="1:17" x14ac:dyDescent="0.25">
      <c r="A406" s="98">
        <v>3234</v>
      </c>
      <c r="B406" s="62" t="s">
        <v>358</v>
      </c>
      <c r="F406" s="73">
        <f>2502.5</f>
        <v>2502.5</v>
      </c>
      <c r="G406" s="73">
        <v>8300</v>
      </c>
      <c r="H406" s="73">
        <v>1700</v>
      </c>
      <c r="I406" s="73">
        <f t="shared" si="95"/>
        <v>10000</v>
      </c>
      <c r="J406" s="73"/>
      <c r="K406" s="154">
        <f t="shared" si="96"/>
        <v>10000</v>
      </c>
      <c r="L406" s="73">
        <v>-1500</v>
      </c>
      <c r="M406" s="73"/>
      <c r="N406" s="73">
        <f>8442.82</f>
        <v>8442.82</v>
      </c>
      <c r="O406" s="7" t="s">
        <v>764</v>
      </c>
    </row>
    <row r="407" spans="1:17" x14ac:dyDescent="0.25">
      <c r="A407" s="100">
        <v>3234</v>
      </c>
      <c r="B407" s="62" t="s">
        <v>282</v>
      </c>
      <c r="C407" s="62"/>
      <c r="D407" s="62"/>
      <c r="E407" s="62"/>
      <c r="F407" s="73"/>
      <c r="G407" s="73">
        <f>150*2</f>
        <v>300</v>
      </c>
      <c r="H407" s="73"/>
      <c r="I407" s="73">
        <f t="shared" si="95"/>
        <v>300</v>
      </c>
      <c r="J407" s="73"/>
      <c r="K407" s="154">
        <f t="shared" si="96"/>
        <v>300</v>
      </c>
      <c r="L407" s="73">
        <v>-300</v>
      </c>
      <c r="M407" s="73"/>
      <c r="N407" s="73"/>
      <c r="O407" s="7" t="s">
        <v>500</v>
      </c>
    </row>
    <row r="408" spans="1:17" x14ac:dyDescent="0.25">
      <c r="A408" s="98">
        <v>3236</v>
      </c>
      <c r="B408" s="713" t="s">
        <v>284</v>
      </c>
      <c r="C408" s="713"/>
      <c r="D408" s="713"/>
      <c r="E408" s="713"/>
      <c r="F408" s="73">
        <v>130.51</v>
      </c>
      <c r="G408" s="73">
        <v>400</v>
      </c>
      <c r="H408" s="73"/>
      <c r="I408" s="73">
        <f t="shared" si="95"/>
        <v>400</v>
      </c>
      <c r="J408" s="73"/>
      <c r="K408" s="154">
        <f t="shared" si="96"/>
        <v>400</v>
      </c>
      <c r="L408" s="73"/>
      <c r="M408" s="73"/>
      <c r="N408" s="73">
        <v>299.11</v>
      </c>
    </row>
    <row r="409" spans="1:17" x14ac:dyDescent="0.25">
      <c r="A409" s="98">
        <v>3236</v>
      </c>
      <c r="B409" s="62" t="s">
        <v>397</v>
      </c>
      <c r="F409" s="73">
        <f>750+832.05</f>
        <v>1582.05</v>
      </c>
      <c r="G409" s="73">
        <v>4900</v>
      </c>
      <c r="H409" s="73"/>
      <c r="I409" s="73">
        <f t="shared" si="95"/>
        <v>4900</v>
      </c>
      <c r="J409" s="73"/>
      <c r="K409" s="154">
        <f t="shared" si="96"/>
        <v>4900</v>
      </c>
      <c r="L409" s="73">
        <v>500</v>
      </c>
      <c r="M409" s="73"/>
      <c r="N409" s="73">
        <f>1875+982.05+115.63</f>
        <v>2972.6800000000003</v>
      </c>
      <c r="O409" s="7" t="s">
        <v>499</v>
      </c>
      <c r="P409" s="7" t="s">
        <v>707</v>
      </c>
      <c r="Q409" s="7" t="s">
        <v>740</v>
      </c>
    </row>
    <row r="410" spans="1:17" x14ac:dyDescent="0.25">
      <c r="A410" s="98"/>
      <c r="B410" s="62" t="s">
        <v>396</v>
      </c>
      <c r="F410" s="73">
        <v>450.57</v>
      </c>
      <c r="G410" s="73">
        <v>400</v>
      </c>
      <c r="H410" s="73">
        <v>500</v>
      </c>
      <c r="I410" s="73">
        <f t="shared" si="95"/>
        <v>900</v>
      </c>
      <c r="J410" s="73"/>
      <c r="K410" s="154">
        <f t="shared" si="96"/>
        <v>900</v>
      </c>
      <c r="L410" s="73"/>
      <c r="M410" s="73"/>
      <c r="N410" s="73">
        <v>773.1</v>
      </c>
      <c r="O410" s="7" t="s">
        <v>498</v>
      </c>
    </row>
    <row r="411" spans="1:17" x14ac:dyDescent="0.25">
      <c r="A411" s="97">
        <v>35</v>
      </c>
      <c r="B411" s="749" t="s">
        <v>285</v>
      </c>
      <c r="C411" s="749"/>
      <c r="D411" s="749"/>
      <c r="E411" s="749"/>
      <c r="F411" s="79">
        <f t="shared" ref="F411:H412" si="97">F412</f>
        <v>39.840000000000003</v>
      </c>
      <c r="G411" s="79">
        <f t="shared" si="97"/>
        <v>300</v>
      </c>
      <c r="H411" s="79">
        <f t="shared" si="97"/>
        <v>0</v>
      </c>
      <c r="I411" s="79">
        <f t="shared" si="95"/>
        <v>300</v>
      </c>
      <c r="J411" s="79"/>
      <c r="K411" s="155">
        <f t="shared" si="96"/>
        <v>300</v>
      </c>
      <c r="L411" s="79"/>
      <c r="M411" s="79"/>
      <c r="N411" s="79"/>
    </row>
    <row r="412" spans="1:17" x14ac:dyDescent="0.25">
      <c r="A412" s="97">
        <v>352</v>
      </c>
      <c r="B412" s="749" t="s">
        <v>286</v>
      </c>
      <c r="C412" s="749"/>
      <c r="D412" s="749"/>
      <c r="E412" s="749"/>
      <c r="F412" s="79">
        <f t="shared" si="97"/>
        <v>39.840000000000003</v>
      </c>
      <c r="G412" s="79">
        <f t="shared" si="97"/>
        <v>300</v>
      </c>
      <c r="H412" s="79">
        <f t="shared" si="97"/>
        <v>0</v>
      </c>
      <c r="I412" s="79">
        <f t="shared" si="95"/>
        <v>300</v>
      </c>
      <c r="J412" s="79"/>
      <c r="K412" s="155">
        <f t="shared" si="96"/>
        <v>300</v>
      </c>
      <c r="L412" s="79"/>
      <c r="M412" s="79"/>
      <c r="N412" s="79"/>
    </row>
    <row r="413" spans="1:17" x14ac:dyDescent="0.25">
      <c r="A413" s="100">
        <v>3523</v>
      </c>
      <c r="B413" s="62" t="s">
        <v>283</v>
      </c>
      <c r="E413" s="58"/>
      <c r="F413" s="73">
        <v>39.840000000000003</v>
      </c>
      <c r="G413" s="73">
        <v>300</v>
      </c>
      <c r="H413" s="73"/>
      <c r="I413" s="73">
        <f t="shared" si="95"/>
        <v>300</v>
      </c>
      <c r="J413" s="73"/>
      <c r="K413" s="154">
        <f t="shared" si="96"/>
        <v>300</v>
      </c>
      <c r="L413" s="73"/>
      <c r="M413" s="73"/>
      <c r="N413" s="73">
        <v>39.840000000000003</v>
      </c>
    </row>
    <row r="414" spans="1:17" x14ac:dyDescent="0.25">
      <c r="A414" s="98"/>
      <c r="B414" s="62"/>
      <c r="C414" s="62"/>
      <c r="D414" s="62"/>
      <c r="E414" s="62"/>
      <c r="F414" s="73"/>
      <c r="G414" s="73"/>
      <c r="H414" s="73"/>
      <c r="I414" s="73"/>
      <c r="J414" s="73"/>
      <c r="K414" s="155"/>
      <c r="L414" s="73"/>
      <c r="M414" s="73"/>
      <c r="N414" s="73"/>
    </row>
    <row r="415" spans="1:17" x14ac:dyDescent="0.25">
      <c r="A415" s="77" t="s">
        <v>399</v>
      </c>
      <c r="B415" s="77"/>
      <c r="C415" s="77"/>
      <c r="D415" s="77"/>
      <c r="E415" s="77"/>
      <c r="F415" s="78">
        <f>F417+F425+F440+F453+F462</f>
        <v>91016.87</v>
      </c>
      <c r="G415" s="78">
        <f>G417+G426+G440+G454+G462</f>
        <v>101500</v>
      </c>
      <c r="H415" s="78">
        <f>H417+H426+H440+H453+H462</f>
        <v>15700</v>
      </c>
      <c r="I415" s="78">
        <f>I417+I426+I440+I454+I462</f>
        <v>117200</v>
      </c>
      <c r="J415" s="78">
        <f t="shared" ref="J415:K415" si="98">J417+J426+J440+J454+J462</f>
        <v>-5500</v>
      </c>
      <c r="K415" s="78">
        <f t="shared" si="98"/>
        <v>111700</v>
      </c>
      <c r="L415" s="363"/>
      <c r="M415" s="363"/>
      <c r="N415" s="363"/>
    </row>
    <row r="416" spans="1:17" x14ac:dyDescent="0.25">
      <c r="A416" s="185" t="s">
        <v>447</v>
      </c>
      <c r="B416" s="182"/>
      <c r="C416" s="182"/>
      <c r="D416" s="183"/>
      <c r="E416" s="184"/>
      <c r="F416" s="184"/>
      <c r="G416" s="184"/>
      <c r="H416" s="184"/>
      <c r="I416" s="184"/>
      <c r="J416" s="184"/>
      <c r="K416" s="155"/>
      <c r="L416" s="184"/>
      <c r="M416" s="184"/>
      <c r="N416" s="184"/>
      <c r="O416" s="192"/>
    </row>
    <row r="417" spans="1:16" ht="29.25" customHeight="1" x14ac:dyDescent="0.25">
      <c r="A417" s="785" t="s">
        <v>361</v>
      </c>
      <c r="B417" s="786"/>
      <c r="C417" s="786"/>
      <c r="D417" s="786"/>
      <c r="E417" s="787"/>
      <c r="F417" s="99">
        <f>F419</f>
        <v>0</v>
      </c>
      <c r="G417" s="99">
        <f>G419</f>
        <v>35000</v>
      </c>
      <c r="H417" s="99">
        <f>H419</f>
        <v>-35000</v>
      </c>
      <c r="I417" s="152">
        <f>G417+H417</f>
        <v>0</v>
      </c>
      <c r="J417" s="152"/>
      <c r="K417" s="155"/>
      <c r="L417" s="152"/>
      <c r="M417" s="152"/>
      <c r="N417" s="152"/>
    </row>
    <row r="418" spans="1:16" x14ac:dyDescent="0.25">
      <c r="A418" s="789"/>
      <c r="B418" s="790"/>
      <c r="C418" s="790"/>
      <c r="D418" s="790"/>
      <c r="E418" s="791"/>
      <c r="F418" s="73"/>
      <c r="G418" s="73"/>
      <c r="H418" s="73"/>
      <c r="I418" s="73"/>
      <c r="J418" s="73"/>
      <c r="K418" s="155"/>
      <c r="L418" s="73"/>
      <c r="M418" s="73"/>
      <c r="N418" s="73"/>
    </row>
    <row r="419" spans="1:16" x14ac:dyDescent="0.25">
      <c r="A419" s="63">
        <v>4</v>
      </c>
      <c r="B419" s="63" t="s">
        <v>5</v>
      </c>
      <c r="C419" s="63"/>
      <c r="D419" s="63"/>
      <c r="E419" s="63"/>
      <c r="F419" s="79">
        <f t="shared" ref="F419:H421" si="99">F420</f>
        <v>0</v>
      </c>
      <c r="G419" s="79">
        <f t="shared" si="99"/>
        <v>35000</v>
      </c>
      <c r="H419" s="79">
        <f t="shared" si="99"/>
        <v>-35000</v>
      </c>
      <c r="I419" s="79">
        <f>G419+H419</f>
        <v>0</v>
      </c>
      <c r="J419" s="79"/>
      <c r="K419" s="155"/>
      <c r="L419" s="79"/>
      <c r="M419" s="79"/>
      <c r="N419" s="79"/>
    </row>
    <row r="420" spans="1:16" x14ac:dyDescent="0.25">
      <c r="A420" s="63">
        <v>42</v>
      </c>
      <c r="B420" s="63" t="s">
        <v>292</v>
      </c>
      <c r="C420" s="63"/>
      <c r="D420" s="63"/>
      <c r="E420" s="63"/>
      <c r="F420" s="79">
        <f t="shared" si="99"/>
        <v>0</v>
      </c>
      <c r="G420" s="79">
        <f t="shared" si="99"/>
        <v>35000</v>
      </c>
      <c r="H420" s="79">
        <f t="shared" si="99"/>
        <v>-35000</v>
      </c>
      <c r="I420" s="79">
        <f t="shared" ref="I420:I422" si="100">G420+H420</f>
        <v>0</v>
      </c>
      <c r="J420" s="79"/>
      <c r="K420" s="155"/>
      <c r="L420" s="79"/>
      <c r="M420" s="79"/>
      <c r="N420" s="79"/>
    </row>
    <row r="421" spans="1:16" x14ac:dyDescent="0.25">
      <c r="A421" s="63">
        <v>421</v>
      </c>
      <c r="B421" s="749" t="s">
        <v>182</v>
      </c>
      <c r="C421" s="749"/>
      <c r="D421" s="749"/>
      <c r="E421" s="749"/>
      <c r="F421" s="79">
        <f t="shared" si="99"/>
        <v>0</v>
      </c>
      <c r="G421" s="79">
        <f t="shared" si="99"/>
        <v>35000</v>
      </c>
      <c r="H421" s="79">
        <f t="shared" si="99"/>
        <v>-35000</v>
      </c>
      <c r="I421" s="79">
        <f t="shared" si="100"/>
        <v>0</v>
      </c>
      <c r="J421" s="79"/>
      <c r="K421" s="155"/>
      <c r="L421" s="79"/>
      <c r="M421" s="79"/>
      <c r="N421" s="79"/>
    </row>
    <row r="422" spans="1:16" x14ac:dyDescent="0.25">
      <c r="A422">
        <v>4214</v>
      </c>
      <c r="B422" s="700" t="s">
        <v>362</v>
      </c>
      <c r="C422" s="700"/>
      <c r="D422" s="700"/>
      <c r="E422" s="700"/>
      <c r="F422" s="73"/>
      <c r="G422" s="73">
        <v>35000</v>
      </c>
      <c r="H422" s="73">
        <v>-35000</v>
      </c>
      <c r="I422" s="73">
        <f t="shared" si="100"/>
        <v>0</v>
      </c>
      <c r="J422" s="73"/>
      <c r="K422" s="155"/>
      <c r="L422" s="73"/>
      <c r="M422" s="73"/>
      <c r="N422" s="73"/>
      <c r="P422" s="7" t="s">
        <v>577</v>
      </c>
    </row>
    <row r="423" spans="1:16" x14ac:dyDescent="0.25">
      <c r="B423" s="58"/>
      <c r="C423" s="58"/>
      <c r="D423" s="58"/>
      <c r="E423" s="58"/>
      <c r="F423" s="73"/>
      <c r="G423" s="73"/>
      <c r="H423" s="73"/>
      <c r="I423" s="73"/>
      <c r="J423" s="73"/>
      <c r="K423" s="155"/>
      <c r="L423" s="73"/>
      <c r="M423" s="73"/>
      <c r="N423" s="73"/>
    </row>
    <row r="424" spans="1:16" x14ac:dyDescent="0.25">
      <c r="A424" s="185" t="s">
        <v>447</v>
      </c>
      <c r="B424" s="182"/>
      <c r="C424" s="182"/>
      <c r="D424" s="183"/>
      <c r="E424" s="184"/>
      <c r="F424" s="184"/>
      <c r="G424" s="184"/>
      <c r="H424" s="184"/>
      <c r="I424" s="184"/>
      <c r="J424" s="184"/>
      <c r="K424" s="155"/>
      <c r="L424" s="184"/>
      <c r="M424" s="184"/>
      <c r="N424" s="184"/>
      <c r="O424" s="192"/>
    </row>
    <row r="425" spans="1:16" x14ac:dyDescent="0.25">
      <c r="A425" s="105" t="s">
        <v>558</v>
      </c>
      <c r="B425" s="105"/>
      <c r="C425" s="105"/>
      <c r="D425" s="105"/>
      <c r="E425" s="105"/>
      <c r="F425" s="707">
        <f>F428+F434</f>
        <v>979.47</v>
      </c>
      <c r="G425" s="278"/>
      <c r="H425" s="278"/>
      <c r="I425" s="281"/>
      <c r="J425" s="251"/>
      <c r="K425" s="197"/>
      <c r="L425" s="251"/>
      <c r="M425" s="251"/>
      <c r="N425" s="251"/>
    </row>
    <row r="426" spans="1:16" x14ac:dyDescent="0.25">
      <c r="A426" s="718" t="s">
        <v>559</v>
      </c>
      <c r="B426" s="719"/>
      <c r="C426" s="719"/>
      <c r="D426" s="719"/>
      <c r="E426" s="720"/>
      <c r="F426" s="708"/>
      <c r="G426" s="279">
        <f>G434+G428</f>
        <v>13500</v>
      </c>
      <c r="H426" s="279">
        <f>H434+H428</f>
        <v>-10000</v>
      </c>
      <c r="I426" s="282">
        <f>G426+H426</f>
        <v>3500</v>
      </c>
      <c r="J426" s="251">
        <f>J430+J432</f>
        <v>-500</v>
      </c>
      <c r="K426" s="197">
        <f>I426+J426</f>
        <v>3000</v>
      </c>
      <c r="L426" s="251"/>
      <c r="M426" s="251"/>
      <c r="N426" s="251">
        <f>N431+N433</f>
        <v>1511.89</v>
      </c>
    </row>
    <row r="427" spans="1:16" x14ac:dyDescent="0.25">
      <c r="A427" s="98"/>
      <c r="B427" s="62"/>
      <c r="C427" s="62"/>
      <c r="D427" s="62"/>
      <c r="E427" s="62"/>
      <c r="F427" s="73"/>
      <c r="G427" s="73"/>
      <c r="H427" s="73"/>
      <c r="I427" s="73"/>
      <c r="J427" s="73"/>
      <c r="K427" s="155"/>
      <c r="L427" s="73"/>
      <c r="M427" s="73"/>
      <c r="N427" s="73"/>
    </row>
    <row r="428" spans="1:16" x14ac:dyDescent="0.25">
      <c r="A428" s="97">
        <v>3</v>
      </c>
      <c r="B428" s="63" t="s">
        <v>19</v>
      </c>
      <c r="C428" s="63"/>
      <c r="D428" s="63"/>
      <c r="E428" s="63"/>
      <c r="F428" s="79">
        <f>F429</f>
        <v>979.47</v>
      </c>
      <c r="G428" s="79">
        <f t="shared" ref="F428:H432" si="101">G429</f>
        <v>1500</v>
      </c>
      <c r="H428" s="79">
        <f t="shared" si="101"/>
        <v>2000</v>
      </c>
      <c r="I428" s="79">
        <f>G428+H428</f>
        <v>3500</v>
      </c>
      <c r="J428" s="79"/>
      <c r="K428" s="155">
        <f>I428+J428</f>
        <v>3500</v>
      </c>
      <c r="L428" s="79"/>
      <c r="M428" s="79"/>
      <c r="N428" s="79"/>
    </row>
    <row r="429" spans="1:16" x14ac:dyDescent="0.25">
      <c r="A429" s="97">
        <v>32</v>
      </c>
      <c r="B429" s="63" t="s">
        <v>170</v>
      </c>
      <c r="C429" s="63"/>
      <c r="D429" s="63"/>
      <c r="E429" s="63"/>
      <c r="F429" s="79">
        <f>F432+F430</f>
        <v>979.47</v>
      </c>
      <c r="G429" s="79">
        <f t="shared" ref="G429:I429" si="102">G432+G430</f>
        <v>1500</v>
      </c>
      <c r="H429" s="79">
        <f t="shared" si="102"/>
        <v>2000</v>
      </c>
      <c r="I429" s="79">
        <f t="shared" si="102"/>
        <v>3500</v>
      </c>
      <c r="J429" s="79"/>
      <c r="K429" s="155">
        <f t="shared" ref="K429:K437" si="103">I429+J429</f>
        <v>3500</v>
      </c>
      <c r="L429" s="79"/>
      <c r="M429" s="79"/>
      <c r="N429" s="79"/>
    </row>
    <row r="430" spans="1:16" x14ac:dyDescent="0.25">
      <c r="A430" s="97">
        <v>322</v>
      </c>
      <c r="B430" s="63" t="s">
        <v>356</v>
      </c>
      <c r="C430" s="63"/>
      <c r="D430" s="63"/>
      <c r="E430" s="63"/>
      <c r="F430" s="79">
        <f>F431</f>
        <v>151.09</v>
      </c>
      <c r="G430" s="79">
        <f t="shared" ref="G430:I430" si="104">G431</f>
        <v>0</v>
      </c>
      <c r="H430" s="79">
        <f t="shared" si="104"/>
        <v>0</v>
      </c>
      <c r="I430" s="79">
        <f t="shared" si="104"/>
        <v>0</v>
      </c>
      <c r="J430" s="79">
        <f>J431</f>
        <v>500</v>
      </c>
      <c r="K430" s="155">
        <f t="shared" si="103"/>
        <v>500</v>
      </c>
      <c r="L430" s="79"/>
      <c r="M430" s="79"/>
      <c r="N430" s="79"/>
    </row>
    <row r="431" spans="1:16" x14ac:dyDescent="0.25">
      <c r="A431" s="100">
        <v>3224</v>
      </c>
      <c r="B431" s="62" t="s">
        <v>727</v>
      </c>
      <c r="C431" s="62"/>
      <c r="D431" s="62"/>
      <c r="E431" s="62"/>
      <c r="F431" s="73">
        <v>151.09</v>
      </c>
      <c r="G431" s="79"/>
      <c r="H431" s="79"/>
      <c r="I431" s="79"/>
      <c r="J431" s="73">
        <v>500</v>
      </c>
      <c r="K431" s="154">
        <f t="shared" si="103"/>
        <v>500</v>
      </c>
      <c r="L431" s="79"/>
      <c r="M431" s="79"/>
      <c r="N431" s="73">
        <f>270.96+189.05</f>
        <v>460.01</v>
      </c>
    </row>
    <row r="432" spans="1:16" x14ac:dyDescent="0.25">
      <c r="A432" s="97">
        <v>323</v>
      </c>
      <c r="B432" s="63" t="s">
        <v>173</v>
      </c>
      <c r="C432" s="63"/>
      <c r="D432" s="63"/>
      <c r="E432" s="63"/>
      <c r="F432" s="79">
        <f t="shared" si="101"/>
        <v>828.38</v>
      </c>
      <c r="G432" s="79">
        <f t="shared" si="101"/>
        <v>1500</v>
      </c>
      <c r="H432" s="79">
        <f t="shared" si="101"/>
        <v>2000</v>
      </c>
      <c r="I432" s="79">
        <f t="shared" ref="I432:I437" si="105">G432+H432</f>
        <v>3500</v>
      </c>
      <c r="J432" s="79">
        <f>J433</f>
        <v>-1000</v>
      </c>
      <c r="K432" s="155">
        <f t="shared" si="103"/>
        <v>2500</v>
      </c>
      <c r="L432" s="79"/>
      <c r="M432" s="79"/>
      <c r="N432" s="79"/>
    </row>
    <row r="433" spans="1:15" x14ac:dyDescent="0.25">
      <c r="A433" s="98">
        <v>3232</v>
      </c>
      <c r="B433" s="62" t="s">
        <v>369</v>
      </c>
      <c r="C433" s="62"/>
      <c r="D433" s="62"/>
      <c r="E433" s="62"/>
      <c r="F433" s="73">
        <v>828.38</v>
      </c>
      <c r="G433" s="73">
        <v>1500</v>
      </c>
      <c r="H433" s="73">
        <v>2000</v>
      </c>
      <c r="I433" s="73">
        <f t="shared" si="105"/>
        <v>3500</v>
      </c>
      <c r="J433" s="73">
        <v>-1000</v>
      </c>
      <c r="K433" s="154">
        <f t="shared" si="103"/>
        <v>2500</v>
      </c>
      <c r="L433" s="73">
        <v>-1000</v>
      </c>
      <c r="M433" s="73"/>
      <c r="N433" s="73">
        <f>938.38+113.5</f>
        <v>1051.8800000000001</v>
      </c>
      <c r="O433" s="150" t="s">
        <v>745</v>
      </c>
    </row>
    <row r="434" spans="1:15" x14ac:dyDescent="0.25">
      <c r="A434" s="97">
        <v>4</v>
      </c>
      <c r="B434" s="63" t="s">
        <v>240</v>
      </c>
      <c r="C434" s="63"/>
      <c r="D434" s="63"/>
      <c r="E434" s="63"/>
      <c r="F434" s="79">
        <f t="shared" ref="F434:H436" si="106">F435</f>
        <v>0</v>
      </c>
      <c r="G434" s="79">
        <f t="shared" si="106"/>
        <v>12000</v>
      </c>
      <c r="H434" s="79">
        <f t="shared" si="106"/>
        <v>-12000</v>
      </c>
      <c r="I434" s="79">
        <f t="shared" si="105"/>
        <v>0</v>
      </c>
      <c r="J434" s="79"/>
      <c r="K434" s="155">
        <f t="shared" si="103"/>
        <v>0</v>
      </c>
      <c r="L434" s="79"/>
      <c r="M434" s="79"/>
      <c r="N434" s="79"/>
    </row>
    <row r="435" spans="1:15" x14ac:dyDescent="0.25">
      <c r="A435" s="97">
        <v>45</v>
      </c>
      <c r="B435" s="712" t="s">
        <v>288</v>
      </c>
      <c r="C435" s="712"/>
      <c r="D435" s="712"/>
      <c r="E435" s="712"/>
      <c r="F435" s="79">
        <f t="shared" si="106"/>
        <v>0</v>
      </c>
      <c r="G435" s="79">
        <f t="shared" si="106"/>
        <v>12000</v>
      </c>
      <c r="H435" s="79">
        <f t="shared" si="106"/>
        <v>-12000</v>
      </c>
      <c r="I435" s="79">
        <f t="shared" si="105"/>
        <v>0</v>
      </c>
      <c r="J435" s="79"/>
      <c r="K435" s="155">
        <f t="shared" si="103"/>
        <v>0</v>
      </c>
      <c r="L435" s="79"/>
      <c r="M435" s="79"/>
      <c r="N435" s="79"/>
    </row>
    <row r="436" spans="1:15" x14ac:dyDescent="0.25">
      <c r="A436" s="97">
        <v>451</v>
      </c>
      <c r="B436" s="63" t="s">
        <v>289</v>
      </c>
      <c r="C436" s="63"/>
      <c r="D436" s="63"/>
      <c r="E436" s="63"/>
      <c r="F436" s="79">
        <f t="shared" si="106"/>
        <v>0</v>
      </c>
      <c r="G436" s="79">
        <f t="shared" si="106"/>
        <v>12000</v>
      </c>
      <c r="H436" s="79">
        <f t="shared" si="106"/>
        <v>-12000</v>
      </c>
      <c r="I436" s="79">
        <f t="shared" si="105"/>
        <v>0</v>
      </c>
      <c r="J436" s="79"/>
      <c r="K436" s="155">
        <f t="shared" si="103"/>
        <v>0</v>
      </c>
      <c r="L436" s="79"/>
      <c r="M436" s="79"/>
      <c r="N436" s="79"/>
    </row>
    <row r="437" spans="1:15" x14ac:dyDescent="0.25">
      <c r="A437" s="100">
        <v>4511</v>
      </c>
      <c r="B437" s="62" t="s">
        <v>589</v>
      </c>
      <c r="C437" s="62"/>
      <c r="D437" s="62"/>
      <c r="E437" s="62"/>
      <c r="F437" s="73"/>
      <c r="G437" s="73">
        <v>12000</v>
      </c>
      <c r="H437" s="73">
        <v>-12000</v>
      </c>
      <c r="I437" s="73">
        <f t="shared" si="105"/>
        <v>0</v>
      </c>
      <c r="J437" s="73"/>
      <c r="K437" s="154">
        <f t="shared" si="103"/>
        <v>0</v>
      </c>
      <c r="L437" s="73"/>
      <c r="M437" s="73"/>
      <c r="N437" s="73"/>
    </row>
    <row r="438" spans="1:15" x14ac:dyDescent="0.25">
      <c r="A438" s="100"/>
      <c r="B438" s="62"/>
      <c r="C438" s="62"/>
      <c r="D438" s="62"/>
      <c r="E438" s="62"/>
      <c r="F438" s="73"/>
      <c r="G438" s="73"/>
      <c r="H438" s="73"/>
      <c r="I438" s="73"/>
      <c r="J438" s="73"/>
      <c r="K438" s="155"/>
      <c r="L438" s="73"/>
      <c r="M438" s="73"/>
      <c r="N438" s="73"/>
    </row>
    <row r="439" spans="1:15" x14ac:dyDescent="0.25">
      <c r="A439" s="185" t="s">
        <v>447</v>
      </c>
      <c r="B439" s="182"/>
      <c r="C439" s="182"/>
      <c r="D439" s="183"/>
      <c r="E439" s="184"/>
      <c r="F439" s="184"/>
      <c r="G439" s="184"/>
      <c r="H439" s="184"/>
      <c r="I439" s="184"/>
      <c r="J439" s="184"/>
      <c r="K439" s="155"/>
      <c r="L439" s="184"/>
      <c r="M439" s="184"/>
      <c r="N439" s="184"/>
      <c r="O439" s="192"/>
    </row>
    <row r="440" spans="1:15" x14ac:dyDescent="0.25">
      <c r="A440" s="166" t="s">
        <v>557</v>
      </c>
      <c r="B440" s="167"/>
      <c r="C440" s="167"/>
      <c r="D440" s="167"/>
      <c r="E440" s="167"/>
      <c r="F440" s="152">
        <f>F442</f>
        <v>10397.530000000001</v>
      </c>
      <c r="G440" s="152">
        <f>G442</f>
        <v>8000</v>
      </c>
      <c r="H440" s="152">
        <f>H442+H448</f>
        <v>11000</v>
      </c>
      <c r="I440" s="152">
        <f>G440+H440</f>
        <v>19000</v>
      </c>
      <c r="J440" s="152">
        <f>J451</f>
        <v>-6000</v>
      </c>
      <c r="K440" s="197">
        <f>I440+J440</f>
        <v>13000</v>
      </c>
      <c r="L440" s="152"/>
      <c r="M440" s="152"/>
      <c r="N440" s="152">
        <f>SUM(N442:N451)</f>
        <v>9666.85</v>
      </c>
    </row>
    <row r="441" spans="1:15" x14ac:dyDescent="0.25">
      <c r="A441" s="119"/>
      <c r="B441" s="107"/>
      <c r="C441" s="107"/>
      <c r="D441" s="107"/>
      <c r="E441" s="107"/>
      <c r="F441" s="81"/>
      <c r="G441" s="81"/>
      <c r="H441" s="81"/>
      <c r="I441" s="81"/>
      <c r="J441" s="81"/>
      <c r="K441" s="155"/>
      <c r="L441" s="81"/>
      <c r="M441" s="81"/>
      <c r="N441" s="81"/>
    </row>
    <row r="442" spans="1:15" x14ac:dyDescent="0.25">
      <c r="A442" s="121">
        <v>3</v>
      </c>
      <c r="B442" s="125" t="s">
        <v>19</v>
      </c>
      <c r="C442" s="107"/>
      <c r="D442" s="107"/>
      <c r="E442" s="107"/>
      <c r="F442" s="114">
        <f>F443</f>
        <v>10397.530000000001</v>
      </c>
      <c r="G442" s="114">
        <f>G443</f>
        <v>8000</v>
      </c>
      <c r="H442" s="114">
        <f>H443</f>
        <v>5000</v>
      </c>
      <c r="I442" s="114">
        <f>G442+H442</f>
        <v>13000</v>
      </c>
      <c r="J442" s="114"/>
      <c r="K442" s="155">
        <f>I442+J442</f>
        <v>13000</v>
      </c>
      <c r="L442" s="114"/>
      <c r="M442" s="114"/>
      <c r="N442" s="114"/>
    </row>
    <row r="443" spans="1:15" x14ac:dyDescent="0.25">
      <c r="A443" s="97">
        <v>32</v>
      </c>
      <c r="B443" s="63" t="s">
        <v>170</v>
      </c>
      <c r="C443" s="107"/>
      <c r="D443" s="107"/>
      <c r="E443" s="107"/>
      <c r="F443" s="114">
        <f>F444+F446</f>
        <v>10397.530000000001</v>
      </c>
      <c r="G443" s="114">
        <f>G444+G446</f>
        <v>8000</v>
      </c>
      <c r="H443" s="114">
        <f>H444+H446</f>
        <v>5000</v>
      </c>
      <c r="I443" s="114">
        <f t="shared" ref="I443:I451" si="107">G443+H443</f>
        <v>13000</v>
      </c>
      <c r="J443" s="114"/>
      <c r="K443" s="155">
        <f t="shared" ref="K443:K451" si="108">I443+J443</f>
        <v>13000</v>
      </c>
      <c r="L443" s="114"/>
      <c r="M443" s="114"/>
      <c r="N443" s="114"/>
    </row>
    <row r="444" spans="1:15" x14ac:dyDescent="0.25">
      <c r="A444" s="97">
        <v>322</v>
      </c>
      <c r="B444" s="63" t="s">
        <v>172</v>
      </c>
      <c r="C444" s="107"/>
      <c r="D444" s="107"/>
      <c r="E444" s="107"/>
      <c r="F444" s="114">
        <f>F445</f>
        <v>991.69</v>
      </c>
      <c r="G444" s="114">
        <f>G445</f>
        <v>4000</v>
      </c>
      <c r="H444" s="114">
        <f>H445</f>
        <v>-2000</v>
      </c>
      <c r="I444" s="114">
        <f t="shared" si="107"/>
        <v>2000</v>
      </c>
      <c r="J444" s="114"/>
      <c r="K444" s="155">
        <f t="shared" si="108"/>
        <v>2000</v>
      </c>
      <c r="L444" s="114"/>
      <c r="M444" s="114"/>
      <c r="N444" s="114"/>
    </row>
    <row r="445" spans="1:15" x14ac:dyDescent="0.25">
      <c r="A445" s="119" t="s">
        <v>596</v>
      </c>
      <c r="B445" s="107"/>
      <c r="C445" s="107"/>
      <c r="D445" s="107"/>
      <c r="E445" s="107"/>
      <c r="F445" s="81">
        <f>690.89+300.8</f>
        <v>991.69</v>
      </c>
      <c r="G445" s="81">
        <v>4000</v>
      </c>
      <c r="H445" s="81">
        <v>-2000</v>
      </c>
      <c r="I445" s="81">
        <f t="shared" si="107"/>
        <v>2000</v>
      </c>
      <c r="J445" s="81"/>
      <c r="K445" s="154">
        <f t="shared" si="108"/>
        <v>2000</v>
      </c>
      <c r="L445" s="81">
        <v>200</v>
      </c>
      <c r="M445" s="81"/>
      <c r="N445" s="81">
        <v>1835.76</v>
      </c>
    </row>
    <row r="446" spans="1:15" x14ac:dyDescent="0.25">
      <c r="A446" s="97">
        <v>323</v>
      </c>
      <c r="B446" s="63" t="s">
        <v>173</v>
      </c>
      <c r="C446" s="63"/>
      <c r="D446" s="107"/>
      <c r="E446" s="107"/>
      <c r="F446" s="114">
        <f>F447</f>
        <v>9405.84</v>
      </c>
      <c r="G446" s="114">
        <f>G447</f>
        <v>4000</v>
      </c>
      <c r="H446" s="114">
        <f>H447</f>
        <v>7000</v>
      </c>
      <c r="I446" s="114">
        <f t="shared" si="107"/>
        <v>11000</v>
      </c>
      <c r="J446" s="114"/>
      <c r="K446" s="155">
        <f t="shared" si="108"/>
        <v>11000</v>
      </c>
      <c r="L446" s="114"/>
      <c r="M446" s="114"/>
      <c r="N446" s="114"/>
    </row>
    <row r="447" spans="1:15" x14ac:dyDescent="0.25">
      <c r="A447" s="293" t="s">
        <v>595</v>
      </c>
      <c r="B447" s="58"/>
      <c r="C447" s="58"/>
      <c r="D447" s="58"/>
      <c r="E447" s="107"/>
      <c r="F447" s="81">
        <f>7748.59+1657.25</f>
        <v>9405.84</v>
      </c>
      <c r="G447" s="81">
        <v>4000</v>
      </c>
      <c r="H447" s="73">
        <f>7000+6000-6000</f>
        <v>7000</v>
      </c>
      <c r="I447" s="81">
        <f t="shared" si="107"/>
        <v>11000</v>
      </c>
      <c r="J447" s="81"/>
      <c r="K447" s="154">
        <f t="shared" si="108"/>
        <v>11000</v>
      </c>
      <c r="L447" s="81"/>
      <c r="M447" s="81"/>
      <c r="N447" s="81">
        <v>7831.09</v>
      </c>
    </row>
    <row r="448" spans="1:15" x14ac:dyDescent="0.25">
      <c r="A448" s="97">
        <v>4</v>
      </c>
      <c r="B448" s="63" t="s">
        <v>240</v>
      </c>
      <c r="C448" s="63"/>
      <c r="D448" s="63"/>
      <c r="E448" s="63"/>
      <c r="F448" s="114"/>
      <c r="G448" s="114"/>
      <c r="H448" s="79">
        <f>H449</f>
        <v>6000</v>
      </c>
      <c r="I448" s="114">
        <f t="shared" si="107"/>
        <v>6000</v>
      </c>
      <c r="J448" s="114"/>
      <c r="K448" s="155">
        <f>K449</f>
        <v>0</v>
      </c>
      <c r="L448" s="114"/>
      <c r="M448" s="114"/>
      <c r="N448" s="114"/>
    </row>
    <row r="449" spans="1:21" x14ac:dyDescent="0.25">
      <c r="A449" s="97">
        <v>45</v>
      </c>
      <c r="B449" s="712" t="s">
        <v>288</v>
      </c>
      <c r="C449" s="712"/>
      <c r="D449" s="712"/>
      <c r="E449" s="712"/>
      <c r="F449" s="114"/>
      <c r="G449" s="114"/>
      <c r="H449" s="79">
        <f>H450</f>
        <v>6000</v>
      </c>
      <c r="I449" s="114">
        <f t="shared" si="107"/>
        <v>6000</v>
      </c>
      <c r="J449" s="114"/>
      <c r="K449" s="155">
        <f>K450</f>
        <v>0</v>
      </c>
      <c r="L449" s="114"/>
      <c r="M449" s="114"/>
      <c r="N449" s="114"/>
    </row>
    <row r="450" spans="1:21" x14ac:dyDescent="0.25">
      <c r="A450" s="97">
        <v>451</v>
      </c>
      <c r="B450" s="63" t="s">
        <v>289</v>
      </c>
      <c r="C450" s="63"/>
      <c r="D450" s="63"/>
      <c r="E450" s="63"/>
      <c r="F450" s="114"/>
      <c r="G450" s="114"/>
      <c r="H450" s="79">
        <f>H451</f>
        <v>6000</v>
      </c>
      <c r="I450" s="114">
        <f t="shared" si="107"/>
        <v>6000</v>
      </c>
      <c r="J450" s="114"/>
      <c r="K450" s="155">
        <f>K451</f>
        <v>0</v>
      </c>
      <c r="L450" s="114"/>
      <c r="M450" s="114"/>
      <c r="N450" s="114"/>
    </row>
    <row r="451" spans="1:21" x14ac:dyDescent="0.25">
      <c r="A451" s="100">
        <v>4511</v>
      </c>
      <c r="B451" s="62" t="s">
        <v>777</v>
      </c>
      <c r="C451" s="62"/>
      <c r="D451" s="62"/>
      <c r="E451" s="62"/>
      <c r="F451" s="81"/>
      <c r="G451" s="81"/>
      <c r="H451" s="73">
        <v>6000</v>
      </c>
      <c r="I451" s="81">
        <f t="shared" si="107"/>
        <v>6000</v>
      </c>
      <c r="J451" s="81">
        <v>-6000</v>
      </c>
      <c r="K451" s="154">
        <f t="shared" si="108"/>
        <v>0</v>
      </c>
      <c r="L451" s="81"/>
      <c r="M451" s="81"/>
      <c r="N451" s="81"/>
      <c r="O451" s="7" t="s">
        <v>746</v>
      </c>
    </row>
    <row r="452" spans="1:21" x14ac:dyDescent="0.25">
      <c r="A452" s="100"/>
      <c r="B452" s="58"/>
      <c r="C452" s="58"/>
      <c r="D452" s="58"/>
      <c r="E452" s="58"/>
      <c r="F452" s="81"/>
      <c r="G452" s="81"/>
      <c r="H452" s="81"/>
      <c r="I452" s="81"/>
      <c r="J452" s="81"/>
      <c r="K452" s="155"/>
      <c r="L452" s="81"/>
      <c r="M452" s="81"/>
      <c r="N452" s="81"/>
    </row>
    <row r="453" spans="1:21" x14ac:dyDescent="0.25">
      <c r="A453" s="732" t="s">
        <v>733</v>
      </c>
      <c r="B453" s="733"/>
      <c r="C453" s="733"/>
      <c r="D453" s="733"/>
      <c r="E453" s="734"/>
      <c r="F453" s="723">
        <f t="shared" ref="F453" si="109">F458</f>
        <v>79639.87</v>
      </c>
      <c r="G453" s="283"/>
      <c r="H453" s="723">
        <f t="shared" ref="H453" si="110">H458</f>
        <v>44700</v>
      </c>
      <c r="I453" s="249"/>
      <c r="J453" s="249"/>
      <c r="K453" s="197"/>
      <c r="L453" s="249"/>
      <c r="M453" s="249"/>
      <c r="N453" s="249"/>
      <c r="O453" s="735"/>
      <c r="P453" s="728"/>
      <c r="Q453"/>
      <c r="R453"/>
      <c r="S453"/>
      <c r="T453"/>
      <c r="U453"/>
    </row>
    <row r="454" spans="1:21" x14ac:dyDescent="0.25">
      <c r="A454" s="729" t="s">
        <v>732</v>
      </c>
      <c r="B454" s="730"/>
      <c r="C454" s="730"/>
      <c r="D454" s="730"/>
      <c r="E454" s="731"/>
      <c r="F454" s="724"/>
      <c r="G454" s="284">
        <f>G458</f>
        <v>35000</v>
      </c>
      <c r="H454" s="724"/>
      <c r="I454" s="249">
        <f>G454+H453</f>
        <v>79700</v>
      </c>
      <c r="J454" s="249"/>
      <c r="K454" s="197">
        <f>I454+J454</f>
        <v>79700</v>
      </c>
      <c r="L454" s="249"/>
      <c r="M454" s="249"/>
      <c r="N454" s="249">
        <f>N460</f>
        <v>79639.87</v>
      </c>
      <c r="O454" s="735"/>
      <c r="P454" s="728"/>
      <c r="Q454"/>
      <c r="R454"/>
      <c r="S454"/>
      <c r="T454"/>
      <c r="U454"/>
    </row>
    <row r="455" spans="1:21" x14ac:dyDescent="0.25">
      <c r="A455" s="511" t="s">
        <v>71</v>
      </c>
      <c r="B455" s="512"/>
      <c r="C455" s="512"/>
      <c r="D455" s="512"/>
      <c r="E455" s="736"/>
      <c r="F455" s="22"/>
      <c r="G455" s="22"/>
      <c r="H455" s="252"/>
      <c r="I455" s="252"/>
      <c r="J455" s="252"/>
      <c r="K455" s="155"/>
      <c r="L455" s="252"/>
      <c r="M455" s="252"/>
      <c r="N455" s="252"/>
      <c r="O455" s="73"/>
      <c r="P455" s="73"/>
      <c r="Q455"/>
      <c r="R455"/>
      <c r="S455"/>
      <c r="T455"/>
      <c r="U455"/>
    </row>
    <row r="456" spans="1:21" x14ac:dyDescent="0.25">
      <c r="A456" s="511" t="s">
        <v>69</v>
      </c>
      <c r="B456" s="512"/>
      <c r="C456" s="512"/>
      <c r="D456" s="512"/>
      <c r="E456" s="736"/>
      <c r="F456" s="22"/>
      <c r="G456" s="22"/>
      <c r="H456" s="252"/>
      <c r="I456" s="252"/>
      <c r="J456" s="252"/>
      <c r="K456" s="155"/>
      <c r="L456" s="252"/>
      <c r="M456" s="252"/>
      <c r="N456" s="252"/>
      <c r="O456" s="73"/>
      <c r="P456" s="73"/>
      <c r="Q456"/>
      <c r="R456"/>
      <c r="S456"/>
      <c r="T456"/>
      <c r="U456"/>
    </row>
    <row r="457" spans="1:21" x14ac:dyDescent="0.25">
      <c r="A457" s="109"/>
      <c r="B457" s="110"/>
      <c r="C457" s="110"/>
      <c r="D457" s="110"/>
      <c r="E457" s="110"/>
      <c r="F457" s="73"/>
      <c r="G457" s="73"/>
      <c r="H457" s="73"/>
      <c r="I457" s="73"/>
      <c r="J457" s="73"/>
      <c r="K457" s="155"/>
      <c r="L457" s="73"/>
      <c r="M457" s="73"/>
      <c r="N457" s="73"/>
      <c r="O457" s="73"/>
      <c r="P457" s="73"/>
      <c r="Q457"/>
      <c r="R457"/>
      <c r="S457"/>
      <c r="T457"/>
      <c r="U457"/>
    </row>
    <row r="458" spans="1:21" x14ac:dyDescent="0.25">
      <c r="A458" s="97">
        <v>45</v>
      </c>
      <c r="B458" s="63" t="s">
        <v>296</v>
      </c>
      <c r="C458" s="63"/>
      <c r="D458" s="63"/>
      <c r="E458" s="63"/>
      <c r="F458" s="203">
        <f t="shared" ref="F458:H458" si="111">F459</f>
        <v>79639.87</v>
      </c>
      <c r="G458" s="203">
        <f t="shared" si="111"/>
        <v>35000</v>
      </c>
      <c r="H458" s="203">
        <f t="shared" si="111"/>
        <v>44700</v>
      </c>
      <c r="I458" s="79">
        <f>G458+H458</f>
        <v>79700</v>
      </c>
      <c r="J458" s="79"/>
      <c r="K458" s="155">
        <f>I458+J458</f>
        <v>79700</v>
      </c>
      <c r="L458" s="79"/>
      <c r="M458" s="79"/>
      <c r="N458" s="79"/>
      <c r="O458" s="79"/>
      <c r="P458" s="79"/>
      <c r="Q458"/>
      <c r="R458"/>
      <c r="S458"/>
      <c r="T458"/>
      <c r="U458"/>
    </row>
    <row r="459" spans="1:21" x14ac:dyDescent="0.25">
      <c r="A459" s="97">
        <v>451</v>
      </c>
      <c r="B459" s="63" t="s">
        <v>297</v>
      </c>
      <c r="C459" s="63"/>
      <c r="D459" s="63"/>
      <c r="E459" s="63"/>
      <c r="F459" s="203">
        <f>F460</f>
        <v>79639.87</v>
      </c>
      <c r="G459" s="203">
        <f>G460</f>
        <v>35000</v>
      </c>
      <c r="H459" s="203">
        <f>H460</f>
        <v>44700</v>
      </c>
      <c r="I459" s="79">
        <f t="shared" ref="I459:I460" si="112">G459+H459</f>
        <v>79700</v>
      </c>
      <c r="J459" s="79"/>
      <c r="K459" s="155">
        <f t="shared" ref="K459:K460" si="113">I459+J459</f>
        <v>79700</v>
      </c>
      <c r="L459" s="79"/>
      <c r="M459" s="79"/>
      <c r="N459" s="79"/>
      <c r="O459" s="79"/>
      <c r="P459" s="79"/>
      <c r="Q459"/>
      <c r="R459"/>
      <c r="S459"/>
      <c r="T459"/>
      <c r="U459"/>
    </row>
    <row r="460" spans="1:21" x14ac:dyDescent="0.25">
      <c r="A460" s="100">
        <v>4511</v>
      </c>
      <c r="B460" s="700" t="s">
        <v>580</v>
      </c>
      <c r="C460" s="700"/>
      <c r="D460" s="700"/>
      <c r="E460" s="700"/>
      <c r="F460" s="73">
        <v>79639.87</v>
      </c>
      <c r="G460" s="73">
        <f>40000-5000</f>
        <v>35000</v>
      </c>
      <c r="H460" s="73">
        <v>44700</v>
      </c>
      <c r="I460" s="73">
        <f t="shared" si="112"/>
        <v>79700</v>
      </c>
      <c r="J460" s="73"/>
      <c r="K460" s="154">
        <f t="shared" si="113"/>
        <v>79700</v>
      </c>
      <c r="L460" s="73"/>
      <c r="M460" s="73"/>
      <c r="N460" s="73">
        <v>79639.87</v>
      </c>
      <c r="O460" s="73" t="s">
        <v>802</v>
      </c>
      <c r="P460" s="73"/>
      <c r="Q460" s="73"/>
      <c r="R460"/>
      <c r="S460"/>
      <c r="T460"/>
      <c r="U460"/>
    </row>
    <row r="461" spans="1:21" x14ac:dyDescent="0.25">
      <c r="A461" s="100"/>
      <c r="B461" s="58"/>
      <c r="C461" s="58"/>
      <c r="D461" s="58"/>
      <c r="E461" s="58"/>
      <c r="F461" s="73"/>
      <c r="G461" s="73"/>
      <c r="H461" s="73"/>
      <c r="I461" s="73"/>
      <c r="J461" s="73"/>
      <c r="K461" s="155"/>
      <c r="L461" s="73"/>
      <c r="M461" s="73"/>
      <c r="N461" s="73"/>
      <c r="O461" s="73"/>
      <c r="P461" s="73"/>
      <c r="Q461" s="73"/>
      <c r="R461"/>
      <c r="S461"/>
      <c r="T461"/>
      <c r="U461"/>
    </row>
    <row r="462" spans="1:21" x14ac:dyDescent="0.25">
      <c r="A462" s="732" t="s">
        <v>481</v>
      </c>
      <c r="B462" s="733"/>
      <c r="C462" s="733"/>
      <c r="D462" s="733"/>
      <c r="E462" s="734"/>
      <c r="F462" s="723">
        <f t="shared" ref="F462" si="114">F467</f>
        <v>0</v>
      </c>
      <c r="G462" s="739">
        <f t="shared" ref="G462:H462" si="115">G467</f>
        <v>10000</v>
      </c>
      <c r="H462" s="737">
        <f t="shared" si="115"/>
        <v>5000</v>
      </c>
      <c r="I462" s="741">
        <f>G462+H462</f>
        <v>15000</v>
      </c>
      <c r="J462" s="741">
        <f>J469</f>
        <v>1000</v>
      </c>
      <c r="K462" s="742">
        <f>I462+J462</f>
        <v>16000</v>
      </c>
      <c r="L462" s="359"/>
      <c r="M462" s="359"/>
      <c r="N462" s="359"/>
      <c r="O462" s="735"/>
      <c r="P462" s="728"/>
      <c r="Q462"/>
      <c r="R462"/>
      <c r="S462"/>
      <c r="T462"/>
      <c r="U462"/>
    </row>
    <row r="463" spans="1:21" x14ac:dyDescent="0.25">
      <c r="A463" s="729" t="s">
        <v>295</v>
      </c>
      <c r="B463" s="730"/>
      <c r="C463" s="730"/>
      <c r="D463" s="730"/>
      <c r="E463" s="731"/>
      <c r="F463" s="724"/>
      <c r="G463" s="740"/>
      <c r="H463" s="738"/>
      <c r="I463" s="741"/>
      <c r="J463" s="741"/>
      <c r="K463" s="742"/>
      <c r="L463" s="359"/>
      <c r="M463" s="359"/>
      <c r="N463" s="359">
        <f>N469</f>
        <v>15250.38</v>
      </c>
      <c r="O463" s="735"/>
      <c r="P463" s="728"/>
      <c r="Q463"/>
      <c r="R463"/>
      <c r="S463"/>
      <c r="T463"/>
      <c r="U463"/>
    </row>
    <row r="464" spans="1:21" x14ac:dyDescent="0.25">
      <c r="A464" s="511" t="s">
        <v>71</v>
      </c>
      <c r="B464" s="512"/>
      <c r="C464" s="512"/>
      <c r="D464" s="512"/>
      <c r="E464" s="736"/>
      <c r="F464" s="22"/>
      <c r="G464" s="22"/>
      <c r="H464" s="252"/>
      <c r="I464" s="252"/>
      <c r="J464" s="252"/>
      <c r="K464" s="155"/>
      <c r="L464" s="252"/>
      <c r="M464" s="252"/>
      <c r="N464" s="252"/>
      <c r="O464" s="73"/>
      <c r="P464" s="73"/>
      <c r="Q464"/>
      <c r="R464"/>
      <c r="S464"/>
      <c r="T464"/>
      <c r="U464"/>
    </row>
    <row r="465" spans="1:21" x14ac:dyDescent="0.25">
      <c r="A465" s="511" t="s">
        <v>69</v>
      </c>
      <c r="B465" s="512"/>
      <c r="C465" s="512"/>
      <c r="D465" s="512"/>
      <c r="E465" s="736"/>
      <c r="F465" s="22"/>
      <c r="G465" s="22"/>
      <c r="H465" s="252"/>
      <c r="I465" s="252"/>
      <c r="J465" s="252"/>
      <c r="K465" s="155"/>
      <c r="L465" s="252"/>
      <c r="M465" s="252"/>
      <c r="N465" s="252"/>
      <c r="O465" s="73"/>
      <c r="P465" s="73"/>
      <c r="Q465"/>
      <c r="R465"/>
      <c r="S465"/>
      <c r="T465"/>
      <c r="U465"/>
    </row>
    <row r="466" spans="1:21" x14ac:dyDescent="0.25">
      <c r="A466" s="109"/>
      <c r="B466" s="110"/>
      <c r="C466" s="110"/>
      <c r="D466" s="110"/>
      <c r="E466" s="110"/>
      <c r="F466" s="73"/>
      <c r="G466" s="73"/>
      <c r="H466" s="73"/>
      <c r="I466" s="73"/>
      <c r="J466" s="73"/>
      <c r="K466" s="155"/>
      <c r="L466" s="73"/>
      <c r="M466" s="73"/>
      <c r="N466" s="73"/>
      <c r="O466" s="73"/>
      <c r="P466" s="73"/>
      <c r="Q466"/>
      <c r="R466"/>
      <c r="S466"/>
      <c r="T466"/>
      <c r="U466"/>
    </row>
    <row r="467" spans="1:21" x14ac:dyDescent="0.25">
      <c r="A467" s="97">
        <v>45</v>
      </c>
      <c r="B467" s="63" t="s">
        <v>296</v>
      </c>
      <c r="C467" s="63"/>
      <c r="D467" s="63"/>
      <c r="E467" s="63"/>
      <c r="F467" s="203">
        <f t="shared" ref="F467:H467" si="116">F468</f>
        <v>0</v>
      </c>
      <c r="G467" s="203">
        <f t="shared" si="116"/>
        <v>10000</v>
      </c>
      <c r="H467" s="203">
        <f t="shared" si="116"/>
        <v>5000</v>
      </c>
      <c r="I467" s="79">
        <f>G467+H467</f>
        <v>15000</v>
      </c>
      <c r="J467" s="79"/>
      <c r="K467" s="155">
        <f>I467+J467</f>
        <v>15000</v>
      </c>
      <c r="L467" s="79"/>
      <c r="M467" s="79"/>
      <c r="N467" s="79"/>
      <c r="O467" s="79"/>
      <c r="P467" s="79"/>
      <c r="Q467"/>
      <c r="R467"/>
      <c r="S467"/>
      <c r="T467"/>
      <c r="U467"/>
    </row>
    <row r="468" spans="1:21" x14ac:dyDescent="0.25">
      <c r="A468" s="97">
        <v>451</v>
      </c>
      <c r="B468" s="63" t="s">
        <v>297</v>
      </c>
      <c r="C468" s="63"/>
      <c r="D468" s="63"/>
      <c r="E468" s="63"/>
      <c r="F468" s="203">
        <f>F469</f>
        <v>0</v>
      </c>
      <c r="G468" s="203">
        <f>G469</f>
        <v>10000</v>
      </c>
      <c r="H468" s="203">
        <f>H469</f>
        <v>5000</v>
      </c>
      <c r="I468" s="79">
        <f t="shared" ref="I468:I469" si="117">G468+H468</f>
        <v>15000</v>
      </c>
      <c r="J468" s="79"/>
      <c r="K468" s="155">
        <f t="shared" ref="K468:K469" si="118">I468+J468</f>
        <v>15000</v>
      </c>
      <c r="L468" s="79"/>
      <c r="M468" s="79"/>
      <c r="N468" s="79"/>
      <c r="O468" s="79"/>
      <c r="P468" s="79"/>
      <c r="Q468"/>
      <c r="R468"/>
      <c r="S468"/>
      <c r="T468"/>
      <c r="U468"/>
    </row>
    <row r="469" spans="1:21" x14ac:dyDescent="0.25">
      <c r="A469" s="100">
        <v>4511</v>
      </c>
      <c r="B469" s="700" t="s">
        <v>843</v>
      </c>
      <c r="C469" s="700"/>
      <c r="D469" s="700"/>
      <c r="E469" s="700"/>
      <c r="F469" s="73"/>
      <c r="G469" s="73">
        <f>12000-2000</f>
        <v>10000</v>
      </c>
      <c r="H469" s="73">
        <v>5000</v>
      </c>
      <c r="I469" s="73">
        <f t="shared" si="117"/>
        <v>15000</v>
      </c>
      <c r="J469" s="73">
        <v>1000</v>
      </c>
      <c r="K469" s="154">
        <f t="shared" si="118"/>
        <v>16000</v>
      </c>
      <c r="L469" s="73">
        <v>-700</v>
      </c>
      <c r="M469" s="73"/>
      <c r="N469" s="73">
        <v>15250.38</v>
      </c>
      <c r="O469" s="73" t="s">
        <v>747</v>
      </c>
      <c r="P469" s="73" t="s">
        <v>827</v>
      </c>
      <c r="Q469" s="73"/>
      <c r="R469"/>
      <c r="S469"/>
      <c r="T469"/>
      <c r="U469"/>
    </row>
    <row r="470" spans="1:21" x14ac:dyDescent="0.25">
      <c r="A470" s="98"/>
      <c r="B470" s="62"/>
      <c r="C470" s="62"/>
      <c r="D470" s="62"/>
      <c r="E470" s="62"/>
      <c r="F470" s="73"/>
      <c r="G470" s="73"/>
      <c r="H470" s="73"/>
      <c r="I470" s="73"/>
      <c r="J470" s="73"/>
      <c r="K470" s="155"/>
      <c r="L470" s="73"/>
      <c r="M470" s="73"/>
      <c r="N470" s="73"/>
      <c r="P470" s="7" t="s">
        <v>828</v>
      </c>
    </row>
    <row r="471" spans="1:21" x14ac:dyDescent="0.25">
      <c r="A471" s="13" t="s">
        <v>291</v>
      </c>
      <c r="B471" s="13"/>
      <c r="C471" s="13"/>
      <c r="D471" s="13"/>
      <c r="E471" s="13"/>
      <c r="F471" s="130">
        <f>F473</f>
        <v>330</v>
      </c>
      <c r="G471" s="130">
        <f>G473</f>
        <v>112000</v>
      </c>
      <c r="H471" s="130">
        <f t="shared" ref="H471:K471" si="119">H473</f>
        <v>-4000</v>
      </c>
      <c r="I471" s="130">
        <f t="shared" si="119"/>
        <v>108000</v>
      </c>
      <c r="J471" s="130">
        <f t="shared" si="119"/>
        <v>0</v>
      </c>
      <c r="K471" s="130">
        <f t="shared" si="119"/>
        <v>108000</v>
      </c>
      <c r="L471" s="368"/>
      <c r="M471" s="368"/>
      <c r="N471" s="368"/>
    </row>
    <row r="472" spans="1:21" x14ac:dyDescent="0.25">
      <c r="A472" s="185" t="s">
        <v>447</v>
      </c>
      <c r="B472" s="182"/>
      <c r="C472" s="182"/>
      <c r="D472" s="183"/>
      <c r="E472" s="184"/>
      <c r="F472" s="184"/>
      <c r="G472" s="184"/>
      <c r="H472" s="184"/>
      <c r="I472" s="184"/>
      <c r="J472" s="184"/>
      <c r="K472" s="155"/>
      <c r="L472" s="184"/>
      <c r="M472" s="184"/>
      <c r="N472" s="184"/>
      <c r="O472" s="192"/>
    </row>
    <row r="473" spans="1:21" ht="15.75" x14ac:dyDescent="0.25">
      <c r="A473" s="782" t="s">
        <v>125</v>
      </c>
      <c r="B473" s="783"/>
      <c r="C473" s="783"/>
      <c r="D473" s="783"/>
      <c r="E473" s="784"/>
      <c r="F473" s="94">
        <f>F481+F475+F483+F486</f>
        <v>330</v>
      </c>
      <c r="G473" s="94">
        <f>G481+G475+G483+G486</f>
        <v>112000</v>
      </c>
      <c r="H473" s="94">
        <f>H481+H475+H483+H486</f>
        <v>-4000</v>
      </c>
      <c r="I473" s="249">
        <f>G473+H473</f>
        <v>108000</v>
      </c>
      <c r="J473" s="249"/>
      <c r="K473" s="197">
        <f>I473+J473</f>
        <v>108000</v>
      </c>
      <c r="L473" s="249"/>
      <c r="M473" s="249"/>
      <c r="N473" s="249">
        <f>N478+N484+N487</f>
        <v>5405</v>
      </c>
    </row>
    <row r="474" spans="1:21" x14ac:dyDescent="0.25">
      <c r="A474" s="98"/>
      <c r="B474" s="62"/>
      <c r="C474" s="62"/>
      <c r="D474" s="62"/>
      <c r="E474" s="62"/>
      <c r="F474" s="73"/>
      <c r="G474" s="73"/>
      <c r="H474" s="73"/>
      <c r="I474" s="73"/>
      <c r="J474" s="73"/>
      <c r="K474" s="155"/>
      <c r="L474" s="73"/>
      <c r="M474" s="73"/>
      <c r="N474" s="73"/>
    </row>
    <row r="475" spans="1:21" x14ac:dyDescent="0.25">
      <c r="A475" s="97">
        <v>4</v>
      </c>
      <c r="B475" s="63" t="s">
        <v>5</v>
      </c>
      <c r="C475" s="63"/>
      <c r="D475" s="63"/>
      <c r="E475" s="63"/>
      <c r="F475" s="79">
        <f t="shared" ref="F475:H477" si="120">F476</f>
        <v>0</v>
      </c>
      <c r="G475" s="79">
        <f t="shared" si="120"/>
        <v>100000</v>
      </c>
      <c r="H475" s="79">
        <f t="shared" si="120"/>
        <v>0</v>
      </c>
      <c r="I475" s="79">
        <f>G475+H475</f>
        <v>100000</v>
      </c>
      <c r="J475" s="79"/>
      <c r="K475" s="155">
        <f>I475+J475</f>
        <v>100000</v>
      </c>
      <c r="L475" s="79"/>
      <c r="M475" s="79"/>
      <c r="N475" s="79"/>
    </row>
    <row r="476" spans="1:21" x14ac:dyDescent="0.25">
      <c r="A476" s="97">
        <v>42</v>
      </c>
      <c r="B476" s="63" t="s">
        <v>292</v>
      </c>
      <c r="C476" s="63"/>
      <c r="D476" s="63"/>
      <c r="E476" s="63"/>
      <c r="F476" s="79">
        <f t="shared" si="120"/>
        <v>0</v>
      </c>
      <c r="G476" s="79">
        <f t="shared" si="120"/>
        <v>100000</v>
      </c>
      <c r="H476" s="79">
        <f t="shared" si="120"/>
        <v>0</v>
      </c>
      <c r="I476" s="79">
        <f t="shared" ref="I476:I487" si="121">G476+H476</f>
        <v>100000</v>
      </c>
      <c r="J476" s="79"/>
      <c r="K476" s="155">
        <f t="shared" ref="K476:K487" si="122">I476+J476</f>
        <v>100000</v>
      </c>
      <c r="L476" s="79"/>
      <c r="M476" s="79"/>
      <c r="N476" s="79"/>
    </row>
    <row r="477" spans="1:21" x14ac:dyDescent="0.25">
      <c r="A477" s="97">
        <v>421</v>
      </c>
      <c r="B477" s="63" t="s">
        <v>182</v>
      </c>
      <c r="C477" s="63"/>
      <c r="D477" s="63"/>
      <c r="E477" s="63"/>
      <c r="F477" s="79">
        <f t="shared" si="120"/>
        <v>0</v>
      </c>
      <c r="G477" s="79">
        <f t="shared" si="120"/>
        <v>100000</v>
      </c>
      <c r="H477" s="79">
        <f t="shared" si="120"/>
        <v>0</v>
      </c>
      <c r="I477" s="79">
        <f t="shared" si="121"/>
        <v>100000</v>
      </c>
      <c r="J477" s="79"/>
      <c r="K477" s="155">
        <f t="shared" si="122"/>
        <v>100000</v>
      </c>
      <c r="L477" s="79"/>
      <c r="M477" s="79"/>
      <c r="N477" s="79"/>
    </row>
    <row r="478" spans="1:21" x14ac:dyDescent="0.25">
      <c r="A478" s="98">
        <v>4214</v>
      </c>
      <c r="B478" s="62" t="s">
        <v>293</v>
      </c>
      <c r="C478" s="62"/>
      <c r="D478" s="62"/>
      <c r="E478" s="62"/>
      <c r="F478" s="73"/>
      <c r="G478" s="73">
        <v>100000</v>
      </c>
      <c r="H478" s="73"/>
      <c r="I478" s="73">
        <f t="shared" si="121"/>
        <v>100000</v>
      </c>
      <c r="J478" s="73"/>
      <c r="K478" s="154">
        <f t="shared" si="122"/>
        <v>100000</v>
      </c>
      <c r="L478" s="73">
        <v>-95000</v>
      </c>
      <c r="M478" s="73"/>
      <c r="N478" s="73">
        <v>4375</v>
      </c>
      <c r="O478" s="7" t="s">
        <v>593</v>
      </c>
    </row>
    <row r="479" spans="1:21" ht="17.25" customHeight="1" x14ac:dyDescent="0.25">
      <c r="A479" s="128">
        <v>3</v>
      </c>
      <c r="B479" s="108" t="s">
        <v>19</v>
      </c>
      <c r="C479" s="108"/>
      <c r="D479" s="108"/>
      <c r="E479" s="108"/>
      <c r="F479" s="79">
        <f>F480+F485</f>
        <v>330</v>
      </c>
      <c r="G479" s="79">
        <f>G480+G485</f>
        <v>12000</v>
      </c>
      <c r="H479" s="79">
        <f>H480+H485</f>
        <v>-4000</v>
      </c>
      <c r="I479" s="79">
        <f t="shared" si="121"/>
        <v>8000</v>
      </c>
      <c r="J479" s="79"/>
      <c r="K479" s="155">
        <f t="shared" si="122"/>
        <v>8000</v>
      </c>
      <c r="L479" s="79"/>
      <c r="M479" s="79"/>
      <c r="N479" s="79"/>
    </row>
    <row r="480" spans="1:21" ht="15.75" customHeight="1" x14ac:dyDescent="0.25">
      <c r="A480" s="129" t="s">
        <v>606</v>
      </c>
      <c r="B480" s="108"/>
      <c r="C480" s="108"/>
      <c r="D480" s="108"/>
      <c r="E480" s="108"/>
      <c r="F480" s="79">
        <f>F481+F483</f>
        <v>330</v>
      </c>
      <c r="G480" s="79">
        <f>G481+G483</f>
        <v>10000</v>
      </c>
      <c r="H480" s="79">
        <f>H481+H483</f>
        <v>-4000</v>
      </c>
      <c r="I480" s="79">
        <f t="shared" si="121"/>
        <v>6000</v>
      </c>
      <c r="J480" s="79"/>
      <c r="K480" s="155">
        <f t="shared" si="122"/>
        <v>6000</v>
      </c>
      <c r="L480" s="79"/>
      <c r="M480" s="79"/>
      <c r="N480" s="79"/>
    </row>
    <row r="481" spans="1:21" ht="15" customHeight="1" x14ac:dyDescent="0.25">
      <c r="A481" s="128">
        <v>322</v>
      </c>
      <c r="B481" s="781" t="s">
        <v>172</v>
      </c>
      <c r="C481" s="781"/>
      <c r="D481" s="781"/>
      <c r="E481" s="781"/>
      <c r="F481" s="79">
        <f>F482</f>
        <v>0</v>
      </c>
      <c r="G481" s="79">
        <f>G482</f>
        <v>5000</v>
      </c>
      <c r="H481" s="79">
        <f>H482</f>
        <v>-2000</v>
      </c>
      <c r="I481" s="79">
        <f t="shared" si="121"/>
        <v>3000</v>
      </c>
      <c r="J481" s="79"/>
      <c r="K481" s="155">
        <f t="shared" si="122"/>
        <v>3000</v>
      </c>
      <c r="L481" s="79"/>
      <c r="M481" s="79"/>
      <c r="N481" s="79"/>
    </row>
    <row r="482" spans="1:21" ht="16.5" customHeight="1" x14ac:dyDescent="0.25">
      <c r="A482" s="204">
        <v>3224</v>
      </c>
      <c r="B482" s="107" t="s">
        <v>294</v>
      </c>
      <c r="C482" s="107"/>
      <c r="D482" s="107"/>
      <c r="E482" s="107"/>
      <c r="F482" s="73"/>
      <c r="G482" s="73">
        <v>5000</v>
      </c>
      <c r="H482" s="73">
        <v>-2000</v>
      </c>
      <c r="I482" s="73">
        <f t="shared" si="121"/>
        <v>3000</v>
      </c>
      <c r="J482" s="73"/>
      <c r="K482" s="154">
        <f t="shared" si="122"/>
        <v>3000</v>
      </c>
      <c r="L482" s="73">
        <v>-2000</v>
      </c>
      <c r="M482" s="73"/>
      <c r="N482" s="73"/>
    </row>
    <row r="483" spans="1:21" ht="15.75" customHeight="1" x14ac:dyDescent="0.25">
      <c r="A483" s="780" t="s">
        <v>607</v>
      </c>
      <c r="B483" s="781"/>
      <c r="C483" s="781"/>
      <c r="D483" s="781"/>
      <c r="E483" s="781"/>
      <c r="F483" s="79">
        <f>F484</f>
        <v>330</v>
      </c>
      <c r="G483" s="79">
        <f>G484</f>
        <v>5000</v>
      </c>
      <c r="H483" s="79">
        <f>H484</f>
        <v>-2000</v>
      </c>
      <c r="I483" s="79">
        <f t="shared" si="121"/>
        <v>3000</v>
      </c>
      <c r="J483" s="79"/>
      <c r="K483" s="155">
        <f t="shared" si="122"/>
        <v>3000</v>
      </c>
      <c r="L483" s="79"/>
      <c r="M483" s="79"/>
      <c r="N483" s="79"/>
    </row>
    <row r="484" spans="1:21" ht="12.75" customHeight="1" x14ac:dyDescent="0.25">
      <c r="A484" s="204">
        <v>3232</v>
      </c>
      <c r="B484" s="107" t="s">
        <v>290</v>
      </c>
      <c r="C484" s="107"/>
      <c r="D484" s="107"/>
      <c r="E484" s="107"/>
      <c r="F484" s="73">
        <v>330</v>
      </c>
      <c r="G484" s="73">
        <v>5000</v>
      </c>
      <c r="H484" s="73">
        <v>-2000</v>
      </c>
      <c r="I484" s="73">
        <f t="shared" si="121"/>
        <v>3000</v>
      </c>
      <c r="J484" s="73"/>
      <c r="K484" s="154">
        <f t="shared" si="122"/>
        <v>3000</v>
      </c>
      <c r="L484" s="73">
        <v>-2000</v>
      </c>
      <c r="M484" s="73"/>
      <c r="N484" s="73">
        <f>330</f>
        <v>330</v>
      </c>
    </row>
    <row r="485" spans="1:21" s="145" customFormat="1" ht="16.5" customHeight="1" x14ac:dyDescent="0.25">
      <c r="A485" s="128">
        <v>38</v>
      </c>
      <c r="B485" s="108" t="s">
        <v>194</v>
      </c>
      <c r="C485" s="108"/>
      <c r="D485" s="108"/>
      <c r="E485" s="108"/>
      <c r="F485" s="79">
        <f t="shared" ref="F485:H486" si="123">F486</f>
        <v>0</v>
      </c>
      <c r="G485" s="79">
        <f t="shared" si="123"/>
        <v>2000</v>
      </c>
      <c r="H485" s="79">
        <f t="shared" si="123"/>
        <v>0</v>
      </c>
      <c r="I485" s="79">
        <f t="shared" si="121"/>
        <v>2000</v>
      </c>
      <c r="J485" s="79"/>
      <c r="K485" s="155">
        <f t="shared" si="122"/>
        <v>2000</v>
      </c>
      <c r="L485" s="79"/>
      <c r="M485" s="79"/>
      <c r="N485" s="79"/>
      <c r="O485" s="190"/>
      <c r="P485" s="190"/>
      <c r="Q485" s="190"/>
      <c r="R485" s="190"/>
      <c r="S485" s="190"/>
      <c r="T485" s="190"/>
      <c r="U485" s="190"/>
    </row>
    <row r="486" spans="1:21" s="145" customFormat="1" ht="13.5" customHeight="1" x14ac:dyDescent="0.25">
      <c r="A486" s="128">
        <v>381</v>
      </c>
      <c r="B486" s="108" t="s">
        <v>181</v>
      </c>
      <c r="C486" s="108"/>
      <c r="D486" s="108"/>
      <c r="E486" s="108"/>
      <c r="F486" s="79">
        <f t="shared" si="123"/>
        <v>0</v>
      </c>
      <c r="G486" s="79">
        <f t="shared" si="123"/>
        <v>2000</v>
      </c>
      <c r="H486" s="79">
        <f t="shared" si="123"/>
        <v>0</v>
      </c>
      <c r="I486" s="79">
        <f t="shared" si="121"/>
        <v>2000</v>
      </c>
      <c r="J486" s="79"/>
      <c r="K486" s="155">
        <f t="shared" si="122"/>
        <v>2000</v>
      </c>
      <c r="L486" s="79"/>
      <c r="M486" s="79"/>
      <c r="N486" s="79"/>
      <c r="O486" s="190"/>
      <c r="P486" s="190"/>
      <c r="Q486" s="190"/>
      <c r="R486" s="190"/>
      <c r="S486" s="190"/>
      <c r="T486" s="190"/>
      <c r="U486" s="190"/>
    </row>
    <row r="487" spans="1:21" ht="14.25" customHeight="1" x14ac:dyDescent="0.25">
      <c r="A487" s="204">
        <v>3811</v>
      </c>
      <c r="B487" s="107" t="s">
        <v>594</v>
      </c>
      <c r="C487" s="107"/>
      <c r="D487" s="107"/>
      <c r="E487" s="107"/>
      <c r="F487" s="73"/>
      <c r="G487" s="73">
        <v>2000</v>
      </c>
      <c r="H487" s="73"/>
      <c r="I487" s="73">
        <f t="shared" si="121"/>
        <v>2000</v>
      </c>
      <c r="J487" s="73"/>
      <c r="K487" s="154">
        <f t="shared" si="122"/>
        <v>2000</v>
      </c>
      <c r="L487" s="73">
        <v>-1300</v>
      </c>
      <c r="M487" s="73"/>
      <c r="N487" s="73">
        <v>700</v>
      </c>
    </row>
    <row r="488" spans="1:21" x14ac:dyDescent="0.25">
      <c r="A488" s="97"/>
      <c r="B488" s="61"/>
      <c r="C488" s="61"/>
      <c r="D488" s="61"/>
      <c r="E488" s="61"/>
      <c r="F488" s="73"/>
      <c r="G488" s="73"/>
      <c r="H488" s="73"/>
      <c r="I488" s="73"/>
      <c r="J488" s="73"/>
      <c r="K488" s="155"/>
      <c r="L488" s="73"/>
      <c r="M488" s="73"/>
      <c r="N488" s="73"/>
    </row>
    <row r="489" spans="1:21" x14ac:dyDescent="0.25">
      <c r="A489" s="90" t="s">
        <v>298</v>
      </c>
      <c r="B489" s="90"/>
      <c r="C489" s="90"/>
      <c r="D489" s="90"/>
      <c r="E489" s="90"/>
      <c r="F489" s="91">
        <f>F490+F540+F574</f>
        <v>105644.67000000003</v>
      </c>
      <c r="G489" s="91">
        <f>G490+G540+G574</f>
        <v>291881</v>
      </c>
      <c r="H489" s="91">
        <f>H490+H540+H574</f>
        <v>27320</v>
      </c>
      <c r="I489" s="91">
        <f>I490+I540+I574+I565</f>
        <v>319201</v>
      </c>
      <c r="J489" s="91">
        <f t="shared" ref="J489:K489" si="124">J490+J540+J574+J565</f>
        <v>-550</v>
      </c>
      <c r="K489" s="91">
        <f t="shared" si="124"/>
        <v>318651</v>
      </c>
      <c r="L489" s="362"/>
      <c r="M489" s="362"/>
      <c r="N489" s="362"/>
    </row>
    <row r="490" spans="1:21" x14ac:dyDescent="0.25">
      <c r="A490" s="756" t="s">
        <v>92</v>
      </c>
      <c r="B490" s="757"/>
      <c r="C490" s="757"/>
      <c r="D490" s="757"/>
      <c r="E490" s="758"/>
      <c r="F490" s="78">
        <f>F492</f>
        <v>99286.540000000023</v>
      </c>
      <c r="G490" s="78">
        <f>G492</f>
        <v>268381</v>
      </c>
      <c r="H490" s="78">
        <f t="shared" ref="H490:K490" si="125">H492</f>
        <v>14820</v>
      </c>
      <c r="I490" s="78">
        <f t="shared" si="125"/>
        <v>283201</v>
      </c>
      <c r="J490" s="78">
        <f t="shared" si="125"/>
        <v>0</v>
      </c>
      <c r="K490" s="78">
        <f t="shared" si="125"/>
        <v>283201</v>
      </c>
      <c r="L490" s="363"/>
      <c r="M490" s="363"/>
      <c r="N490" s="363"/>
    </row>
    <row r="491" spans="1:21" x14ac:dyDescent="0.25">
      <c r="A491" s="185" t="s">
        <v>458</v>
      </c>
      <c r="B491" s="182"/>
      <c r="C491" s="182"/>
      <c r="D491" s="183"/>
      <c r="E491" s="184"/>
      <c r="F491" s="184"/>
      <c r="G491" s="184"/>
      <c r="H491" s="184"/>
      <c r="I491" s="184"/>
      <c r="J491" s="184"/>
      <c r="K491" s="155"/>
      <c r="L491" s="184"/>
      <c r="M491" s="184"/>
      <c r="N491" s="184"/>
      <c r="O491" s="192"/>
    </row>
    <row r="492" spans="1:21" x14ac:dyDescent="0.25">
      <c r="A492" s="102" t="s">
        <v>299</v>
      </c>
      <c r="B492" s="112"/>
      <c r="C492" s="112"/>
      <c r="D492" s="112"/>
      <c r="E492" s="112"/>
      <c r="F492" s="94">
        <f>F496+F503+F530+F535</f>
        <v>99286.540000000023</v>
      </c>
      <c r="G492" s="94">
        <f>G496+G503+G530+G535</f>
        <v>268381</v>
      </c>
      <c r="H492" s="94">
        <f>H496+H503+H530+H535</f>
        <v>14820</v>
      </c>
      <c r="I492" s="249">
        <f>G492+H492</f>
        <v>283201</v>
      </c>
      <c r="J492" s="249"/>
      <c r="K492" s="197">
        <f>I492+J492</f>
        <v>283201</v>
      </c>
      <c r="L492" s="249"/>
      <c r="M492" s="249"/>
      <c r="N492" s="249">
        <f>K492+L492</f>
        <v>283201</v>
      </c>
    </row>
    <row r="493" spans="1:21" x14ac:dyDescent="0.25">
      <c r="A493" s="759" t="s">
        <v>93</v>
      </c>
      <c r="B493" s="760"/>
      <c r="C493" s="760"/>
      <c r="D493" s="760"/>
      <c r="E493" s="761"/>
      <c r="F493" s="131"/>
      <c r="G493" s="131"/>
      <c r="H493" s="253"/>
      <c r="I493" s="253"/>
      <c r="J493" s="253"/>
      <c r="K493" s="155"/>
      <c r="L493" s="253"/>
      <c r="M493" s="253"/>
      <c r="N493" s="253"/>
    </row>
    <row r="494" spans="1:21" x14ac:dyDescent="0.25">
      <c r="A494" s="122"/>
      <c r="B494" s="132"/>
      <c r="C494" s="132"/>
      <c r="D494" s="132"/>
      <c r="E494" s="132"/>
      <c r="F494" s="153"/>
      <c r="G494" s="153"/>
      <c r="H494" s="153"/>
      <c r="I494" s="153"/>
      <c r="J494" s="153"/>
      <c r="K494" s="155"/>
      <c r="L494" s="153"/>
      <c r="M494" s="153"/>
      <c r="N494" s="153"/>
    </row>
    <row r="495" spans="1:21" x14ac:dyDescent="0.25">
      <c r="A495" s="121">
        <v>3</v>
      </c>
      <c r="B495" s="125" t="s">
        <v>19</v>
      </c>
      <c r="C495" s="125"/>
      <c r="D495" s="125"/>
      <c r="E495" s="125"/>
      <c r="F495" s="115">
        <f>F496+F503+F530</f>
        <v>97385.050000000017</v>
      </c>
      <c r="G495" s="115">
        <f>G496+G503+G530</f>
        <v>266281</v>
      </c>
      <c r="H495" s="115">
        <f>H496+H503+H530</f>
        <v>11120</v>
      </c>
      <c r="I495" s="114">
        <f>G495+H495</f>
        <v>277401</v>
      </c>
      <c r="J495" s="114"/>
      <c r="K495" s="155">
        <f>I495+J495</f>
        <v>277401</v>
      </c>
      <c r="L495" s="114"/>
      <c r="M495" s="114"/>
      <c r="N495" s="114"/>
    </row>
    <row r="496" spans="1:21" x14ac:dyDescent="0.25">
      <c r="A496" s="97">
        <v>31</v>
      </c>
      <c r="B496" s="63" t="s">
        <v>166</v>
      </c>
      <c r="C496" s="63"/>
      <c r="D496" s="63"/>
      <c r="E496" s="63"/>
      <c r="F496" s="96">
        <f>F497+F499+F501</f>
        <v>76143.150000000009</v>
      </c>
      <c r="G496" s="96">
        <f>G497+G499+G501</f>
        <v>210843</v>
      </c>
      <c r="H496" s="96">
        <f>H497+H499+H501</f>
        <v>11400</v>
      </c>
      <c r="I496" s="114">
        <f t="shared" ref="I496:I539" si="126">G496+H496</f>
        <v>222243</v>
      </c>
      <c r="J496" s="114"/>
      <c r="K496" s="155">
        <f t="shared" ref="K496:K539" si="127">I496+J496</f>
        <v>222243</v>
      </c>
      <c r="L496" s="114"/>
      <c r="M496" s="114"/>
      <c r="N496" s="114"/>
    </row>
    <row r="497" spans="1:16" x14ac:dyDescent="0.25">
      <c r="A497" s="97">
        <v>311</v>
      </c>
      <c r="B497" s="63" t="s">
        <v>208</v>
      </c>
      <c r="C497" s="63"/>
      <c r="D497" s="63"/>
      <c r="E497" s="63"/>
      <c r="F497" s="96">
        <f t="shared" ref="F497:H497" si="128">F498</f>
        <v>64672.240000000005</v>
      </c>
      <c r="G497" s="96">
        <f t="shared" si="128"/>
        <v>172800</v>
      </c>
      <c r="H497" s="96">
        <f t="shared" si="128"/>
        <v>8920</v>
      </c>
      <c r="I497" s="114">
        <f t="shared" si="126"/>
        <v>181720</v>
      </c>
      <c r="J497" s="114"/>
      <c r="K497" s="155">
        <f t="shared" si="127"/>
        <v>181720</v>
      </c>
      <c r="L497" s="114"/>
      <c r="M497" s="114"/>
      <c r="N497" s="114"/>
    </row>
    <row r="498" spans="1:16" x14ac:dyDescent="0.25">
      <c r="A498" s="98">
        <v>3111</v>
      </c>
      <c r="B498" t="s">
        <v>300</v>
      </c>
      <c r="F498" s="73">
        <f>52123.66+12548.58</f>
        <v>64672.240000000005</v>
      </c>
      <c r="G498" s="73">
        <v>172800</v>
      </c>
      <c r="H498" s="73">
        <v>8920</v>
      </c>
      <c r="I498" s="81">
        <f t="shared" si="126"/>
        <v>181720</v>
      </c>
      <c r="J498" s="81"/>
      <c r="K498" s="154">
        <f t="shared" si="127"/>
        <v>181720</v>
      </c>
      <c r="L498" s="81">
        <v>2100</v>
      </c>
      <c r="M498" s="81"/>
      <c r="N498" s="73"/>
    </row>
    <row r="499" spans="1:16" x14ac:dyDescent="0.25">
      <c r="A499" s="97">
        <v>312</v>
      </c>
      <c r="B499" s="63" t="s">
        <v>168</v>
      </c>
      <c r="C499" s="63"/>
      <c r="D499" s="63"/>
      <c r="E499" s="63"/>
      <c r="F499" s="96">
        <f>F500</f>
        <v>800</v>
      </c>
      <c r="G499" s="96">
        <f>G500</f>
        <v>9531</v>
      </c>
      <c r="H499" s="96">
        <f>H500</f>
        <v>980</v>
      </c>
      <c r="I499" s="114">
        <f t="shared" si="126"/>
        <v>10511</v>
      </c>
      <c r="J499" s="114"/>
      <c r="K499" s="155">
        <f t="shared" si="127"/>
        <v>10511</v>
      </c>
      <c r="L499" s="114"/>
      <c r="M499" s="114"/>
      <c r="N499" s="79"/>
    </row>
    <row r="500" spans="1:16" x14ac:dyDescent="0.25">
      <c r="A500" s="98">
        <v>3121</v>
      </c>
      <c r="B500" s="62" t="s">
        <v>301</v>
      </c>
      <c r="F500" s="73">
        <v>800</v>
      </c>
      <c r="G500" s="73">
        <v>9531</v>
      </c>
      <c r="H500" s="73">
        <v>980</v>
      </c>
      <c r="I500" s="81">
        <f t="shared" si="126"/>
        <v>10511</v>
      </c>
      <c r="J500" s="81"/>
      <c r="K500" s="154">
        <f t="shared" si="127"/>
        <v>10511</v>
      </c>
      <c r="L500" s="81">
        <v>619</v>
      </c>
      <c r="M500" s="81"/>
      <c r="N500" s="73"/>
      <c r="O500" s="7" t="s">
        <v>488</v>
      </c>
      <c r="P500" s="7" t="s">
        <v>489</v>
      </c>
    </row>
    <row r="501" spans="1:16" x14ac:dyDescent="0.25">
      <c r="A501" s="97">
        <v>313</v>
      </c>
      <c r="B501" s="63" t="s">
        <v>169</v>
      </c>
      <c r="C501" s="63"/>
      <c r="D501" s="63"/>
      <c r="E501" s="63"/>
      <c r="F501" s="96">
        <f>F502</f>
        <v>10670.91</v>
      </c>
      <c r="G501" s="96">
        <f>G502</f>
        <v>28512</v>
      </c>
      <c r="H501" s="96">
        <f>H502</f>
        <v>1500</v>
      </c>
      <c r="I501" s="114">
        <f t="shared" si="126"/>
        <v>30012</v>
      </c>
      <c r="J501" s="114"/>
      <c r="K501" s="155">
        <f t="shared" si="127"/>
        <v>30012</v>
      </c>
      <c r="L501" s="114"/>
      <c r="M501" s="114"/>
      <c r="N501" s="79"/>
    </row>
    <row r="502" spans="1:16" x14ac:dyDescent="0.25">
      <c r="A502" s="98">
        <v>3132</v>
      </c>
      <c r="B502" t="s">
        <v>188</v>
      </c>
      <c r="F502" s="73">
        <v>10670.91</v>
      </c>
      <c r="G502" s="73">
        <v>28512</v>
      </c>
      <c r="H502" s="73">
        <v>1500</v>
      </c>
      <c r="I502" s="81">
        <f t="shared" si="126"/>
        <v>30012</v>
      </c>
      <c r="J502" s="81"/>
      <c r="K502" s="154">
        <f t="shared" si="127"/>
        <v>30012</v>
      </c>
      <c r="L502" s="81">
        <v>488</v>
      </c>
      <c r="M502" s="81"/>
      <c r="N502" s="73"/>
    </row>
    <row r="503" spans="1:16" x14ac:dyDescent="0.25">
      <c r="A503" s="97">
        <v>32</v>
      </c>
      <c r="B503" s="63" t="s">
        <v>170</v>
      </c>
      <c r="C503" s="63"/>
      <c r="D503" s="63"/>
      <c r="E503" s="63"/>
      <c r="F503" s="96">
        <f>F504+F509+F516+F524</f>
        <v>20893.960000000003</v>
      </c>
      <c r="G503" s="96">
        <f>G504+G509+G516+G524</f>
        <v>54670</v>
      </c>
      <c r="H503" s="96">
        <f>H504+H509+H516+H524</f>
        <v>-520</v>
      </c>
      <c r="I503" s="114">
        <f t="shared" si="126"/>
        <v>54150</v>
      </c>
      <c r="J503" s="114"/>
      <c r="K503" s="155">
        <f t="shared" si="127"/>
        <v>54150</v>
      </c>
      <c r="L503" s="114"/>
      <c r="M503" s="114"/>
      <c r="N503" s="79"/>
    </row>
    <row r="504" spans="1:16" x14ac:dyDescent="0.25">
      <c r="A504" s="97">
        <v>321</v>
      </c>
      <c r="B504" s="63" t="s">
        <v>171</v>
      </c>
      <c r="C504" s="63"/>
      <c r="D504" s="63"/>
      <c r="E504" s="63"/>
      <c r="F504" s="96">
        <f>SUM(F505:F508)</f>
        <v>3734.28</v>
      </c>
      <c r="G504" s="96">
        <f>SUM(G505:G508)</f>
        <v>14540</v>
      </c>
      <c r="H504" s="96">
        <f>SUM(H505:H508)</f>
        <v>-920</v>
      </c>
      <c r="I504" s="114">
        <f t="shared" si="126"/>
        <v>13620</v>
      </c>
      <c r="J504" s="114"/>
      <c r="K504" s="155">
        <f t="shared" si="127"/>
        <v>13620</v>
      </c>
      <c r="L504" s="114"/>
      <c r="M504" s="114"/>
      <c r="N504" s="114"/>
    </row>
    <row r="505" spans="1:16" x14ac:dyDescent="0.25">
      <c r="A505" s="100">
        <v>3211</v>
      </c>
      <c r="B505" s="62" t="s">
        <v>189</v>
      </c>
      <c r="C505" s="62"/>
      <c r="D505" s="62"/>
      <c r="E505" s="62"/>
      <c r="F505" s="151">
        <v>193</v>
      </c>
      <c r="G505" s="151">
        <v>1070</v>
      </c>
      <c r="H505" s="151">
        <v>-720</v>
      </c>
      <c r="I505" s="81">
        <f t="shared" si="126"/>
        <v>350</v>
      </c>
      <c r="J505" s="81"/>
      <c r="K505" s="154">
        <f t="shared" si="127"/>
        <v>350</v>
      </c>
      <c r="L505" s="81">
        <v>-150</v>
      </c>
      <c r="M505" s="81"/>
      <c r="N505" s="81"/>
    </row>
    <row r="506" spans="1:16" x14ac:dyDescent="0.25">
      <c r="A506" s="100">
        <v>3212</v>
      </c>
      <c r="B506" s="62" t="s">
        <v>302</v>
      </c>
      <c r="C506" s="62"/>
      <c r="D506" s="62"/>
      <c r="E506" s="62"/>
      <c r="F506" s="151">
        <v>2871.61</v>
      </c>
      <c r="G506" s="151">
        <v>12670</v>
      </c>
      <c r="H506" s="151">
        <v>-500</v>
      </c>
      <c r="I506" s="81">
        <f t="shared" si="126"/>
        <v>12170</v>
      </c>
      <c r="J506" s="81"/>
      <c r="K506" s="154">
        <f t="shared" si="127"/>
        <v>12170</v>
      </c>
      <c r="L506" s="81">
        <v>-2610</v>
      </c>
      <c r="M506" s="81"/>
      <c r="N506" s="81"/>
    </row>
    <row r="507" spans="1:16" x14ac:dyDescent="0.25">
      <c r="A507" s="98">
        <v>3213</v>
      </c>
      <c r="B507" t="s">
        <v>211</v>
      </c>
      <c r="F507" s="151">
        <v>230.87</v>
      </c>
      <c r="G507" s="151">
        <v>400</v>
      </c>
      <c r="H507" s="151"/>
      <c r="I507" s="81">
        <f t="shared" si="126"/>
        <v>400</v>
      </c>
      <c r="J507" s="81"/>
      <c r="K507" s="154">
        <f t="shared" si="127"/>
        <v>400</v>
      </c>
      <c r="L507" s="81">
        <v>100</v>
      </c>
      <c r="M507" s="81"/>
      <c r="N507" s="81"/>
    </row>
    <row r="508" spans="1:16" x14ac:dyDescent="0.25">
      <c r="A508" s="98">
        <v>3214</v>
      </c>
      <c r="B508" s="649" t="s">
        <v>303</v>
      </c>
      <c r="C508" s="649"/>
      <c r="D508" s="649"/>
      <c r="E508" s="649"/>
      <c r="F508" s="151">
        <v>438.8</v>
      </c>
      <c r="G508" s="151">
        <v>400</v>
      </c>
      <c r="H508" s="151">
        <v>300</v>
      </c>
      <c r="I508" s="81">
        <f t="shared" si="126"/>
        <v>700</v>
      </c>
      <c r="J508" s="81"/>
      <c r="K508" s="154">
        <f t="shared" si="127"/>
        <v>700</v>
      </c>
      <c r="L508" s="81"/>
      <c r="M508" s="81"/>
      <c r="N508" s="81"/>
    </row>
    <row r="509" spans="1:16" x14ac:dyDescent="0.25">
      <c r="A509" s="97">
        <v>322</v>
      </c>
      <c r="B509" s="63" t="s">
        <v>172</v>
      </c>
      <c r="C509" s="63"/>
      <c r="D509" s="63"/>
      <c r="E509" s="63"/>
      <c r="F509" s="96">
        <f>SUM(F510:F515)</f>
        <v>13511.33</v>
      </c>
      <c r="G509" s="96">
        <f>SUM(G510:G515)</f>
        <v>28850</v>
      </c>
      <c r="H509" s="96">
        <f>SUM(H510:H515)</f>
        <v>400</v>
      </c>
      <c r="I509" s="114">
        <f t="shared" si="126"/>
        <v>29250</v>
      </c>
      <c r="J509" s="114"/>
      <c r="K509" s="155">
        <f t="shared" si="127"/>
        <v>29250</v>
      </c>
      <c r="L509" s="114"/>
      <c r="M509" s="114"/>
      <c r="N509" s="114"/>
    </row>
    <row r="510" spans="1:16" x14ac:dyDescent="0.25">
      <c r="A510" s="100">
        <v>3221</v>
      </c>
      <c r="B510" s="62" t="s">
        <v>304</v>
      </c>
      <c r="C510" s="62"/>
      <c r="D510" s="62"/>
      <c r="E510" s="62"/>
      <c r="F510" s="151">
        <v>1306.42</v>
      </c>
      <c r="G510" s="151">
        <v>2750</v>
      </c>
      <c r="H510" s="151">
        <v>200</v>
      </c>
      <c r="I510" s="81">
        <f t="shared" si="126"/>
        <v>2950</v>
      </c>
      <c r="J510" s="81"/>
      <c r="K510" s="154">
        <f t="shared" si="127"/>
        <v>2950</v>
      </c>
      <c r="L510" s="81">
        <v>350</v>
      </c>
      <c r="M510" s="81"/>
      <c r="N510" s="81"/>
    </row>
    <row r="511" spans="1:16" x14ac:dyDescent="0.25">
      <c r="A511" s="100">
        <v>3222</v>
      </c>
      <c r="B511" s="62" t="s">
        <v>305</v>
      </c>
      <c r="C511" s="62"/>
      <c r="D511" s="62"/>
      <c r="E511" s="62"/>
      <c r="F511" s="151">
        <v>7679.31</v>
      </c>
      <c r="G511" s="151">
        <v>13000</v>
      </c>
      <c r="H511" s="151">
        <v>1000</v>
      </c>
      <c r="I511" s="81">
        <f t="shared" si="126"/>
        <v>14000</v>
      </c>
      <c r="J511" s="81"/>
      <c r="K511" s="154">
        <f t="shared" si="127"/>
        <v>14000</v>
      </c>
      <c r="L511" s="81">
        <v>4000</v>
      </c>
      <c r="M511" s="81"/>
      <c r="N511" s="81"/>
    </row>
    <row r="512" spans="1:16" x14ac:dyDescent="0.25">
      <c r="A512" s="100">
        <v>3223</v>
      </c>
      <c r="B512" s="62" t="s">
        <v>728</v>
      </c>
      <c r="C512" s="62"/>
      <c r="D512" s="62"/>
      <c r="E512" s="62"/>
      <c r="F512" s="151">
        <v>2787.47</v>
      </c>
      <c r="G512" s="151">
        <v>7500</v>
      </c>
      <c r="H512" s="151">
        <v>-1000</v>
      </c>
      <c r="I512" s="81">
        <f t="shared" si="126"/>
        <v>6500</v>
      </c>
      <c r="J512" s="81"/>
      <c r="K512" s="154">
        <f t="shared" si="127"/>
        <v>6500</v>
      </c>
      <c r="L512" s="81"/>
      <c r="M512" s="81"/>
      <c r="N512" s="81"/>
    </row>
    <row r="513" spans="1:14" x14ac:dyDescent="0.25">
      <c r="A513" s="100">
        <v>3224</v>
      </c>
      <c r="B513" s="700" t="s">
        <v>347</v>
      </c>
      <c r="C513" s="700"/>
      <c r="D513" s="700"/>
      <c r="E513" s="700"/>
      <c r="F513" s="151">
        <v>278.52</v>
      </c>
      <c r="G513" s="151">
        <v>1500</v>
      </c>
      <c r="H513" s="151"/>
      <c r="I513" s="81">
        <f t="shared" si="126"/>
        <v>1500</v>
      </c>
      <c r="J513" s="81"/>
      <c r="K513" s="154">
        <f t="shared" si="127"/>
        <v>1500</v>
      </c>
      <c r="L513" s="81"/>
      <c r="M513" s="81"/>
      <c r="N513" s="81"/>
    </row>
    <row r="514" spans="1:14" x14ac:dyDescent="0.25">
      <c r="A514" s="98">
        <v>3225</v>
      </c>
      <c r="B514" s="700" t="s">
        <v>306</v>
      </c>
      <c r="C514" s="700"/>
      <c r="D514" s="700"/>
      <c r="F514" s="151">
        <v>1459.61</v>
      </c>
      <c r="G514" s="151">
        <v>3100</v>
      </c>
      <c r="H514" s="151"/>
      <c r="I514" s="81">
        <f t="shared" si="126"/>
        <v>3100</v>
      </c>
      <c r="J514" s="81"/>
      <c r="K514" s="154">
        <f t="shared" si="127"/>
        <v>3100</v>
      </c>
      <c r="L514" s="81"/>
      <c r="M514" s="81"/>
      <c r="N514" s="81"/>
    </row>
    <row r="515" spans="1:14" x14ac:dyDescent="0.25">
      <c r="A515" s="98">
        <v>3227</v>
      </c>
      <c r="B515" s="700" t="s">
        <v>307</v>
      </c>
      <c r="C515" s="700"/>
      <c r="D515" s="700"/>
      <c r="E515" s="700"/>
      <c r="F515" s="151"/>
      <c r="G515" s="151">
        <v>1000</v>
      </c>
      <c r="H515" s="151">
        <v>200</v>
      </c>
      <c r="I515" s="81">
        <f t="shared" si="126"/>
        <v>1200</v>
      </c>
      <c r="J515" s="81"/>
      <c r="K515" s="154">
        <f t="shared" si="127"/>
        <v>1200</v>
      </c>
      <c r="L515" s="81"/>
      <c r="M515" s="81"/>
      <c r="N515" s="81"/>
    </row>
    <row r="516" spans="1:14" x14ac:dyDescent="0.25">
      <c r="A516" s="97">
        <v>323</v>
      </c>
      <c r="B516" s="63" t="s">
        <v>173</v>
      </c>
      <c r="C516" s="63"/>
      <c r="D516" s="63"/>
      <c r="E516" s="63"/>
      <c r="F516" s="96">
        <f>SUM(F517:F523)</f>
        <v>3069.4700000000003</v>
      </c>
      <c r="G516" s="96">
        <f>SUM(G517:G523)</f>
        <v>8534</v>
      </c>
      <c r="H516" s="96">
        <f>SUM(H517:H523)</f>
        <v>100</v>
      </c>
      <c r="I516" s="114">
        <f t="shared" si="126"/>
        <v>8634</v>
      </c>
      <c r="J516" s="114"/>
      <c r="K516" s="155">
        <f t="shared" si="127"/>
        <v>8634</v>
      </c>
      <c r="L516" s="114"/>
      <c r="M516" s="114"/>
      <c r="N516" s="114"/>
    </row>
    <row r="517" spans="1:14" x14ac:dyDescent="0.25">
      <c r="A517" s="98">
        <v>3231</v>
      </c>
      <c r="B517" s="62" t="s">
        <v>490</v>
      </c>
      <c r="F517" s="151">
        <v>279.25</v>
      </c>
      <c r="G517" s="151">
        <v>650</v>
      </c>
      <c r="H517" s="151">
        <v>100</v>
      </c>
      <c r="I517" s="81">
        <f t="shared" si="126"/>
        <v>750</v>
      </c>
      <c r="J517" s="81"/>
      <c r="K517" s="154">
        <f t="shared" si="127"/>
        <v>750</v>
      </c>
      <c r="L517" s="81">
        <v>-60</v>
      </c>
      <c r="M517" s="81"/>
      <c r="N517" s="81"/>
    </row>
    <row r="518" spans="1:14" x14ac:dyDescent="0.25">
      <c r="A518" s="98">
        <v>3232</v>
      </c>
      <c r="B518" t="s">
        <v>308</v>
      </c>
      <c r="F518" s="151">
        <v>74.88</v>
      </c>
      <c r="G518" s="151">
        <v>2300</v>
      </c>
      <c r="H518" s="151">
        <v>-1000</v>
      </c>
      <c r="I518" s="81">
        <f t="shared" si="126"/>
        <v>1300</v>
      </c>
      <c r="J518" s="81"/>
      <c r="K518" s="154">
        <f t="shared" si="127"/>
        <v>1300</v>
      </c>
      <c r="L518" s="81"/>
      <c r="M518" s="81"/>
      <c r="N518" s="81"/>
    </row>
    <row r="519" spans="1:14" x14ac:dyDescent="0.25">
      <c r="A519" s="98">
        <v>3234</v>
      </c>
      <c r="B519" s="62" t="s">
        <v>491</v>
      </c>
      <c r="F519" s="151">
        <v>1387.54</v>
      </c>
      <c r="G519" s="151">
        <v>3290</v>
      </c>
      <c r="H519" s="151"/>
      <c r="I519" s="81">
        <f t="shared" si="126"/>
        <v>3290</v>
      </c>
      <c r="J519" s="81"/>
      <c r="K519" s="154">
        <f t="shared" si="127"/>
        <v>3290</v>
      </c>
      <c r="L519" s="81">
        <v>330</v>
      </c>
      <c r="M519" s="81"/>
      <c r="N519" s="81"/>
    </row>
    <row r="520" spans="1:14" x14ac:dyDescent="0.25">
      <c r="A520" s="98">
        <v>3236</v>
      </c>
      <c r="B520" s="62" t="s">
        <v>492</v>
      </c>
      <c r="F520" s="151">
        <v>504.81</v>
      </c>
      <c r="G520" s="151">
        <v>1244</v>
      </c>
      <c r="H520" s="151">
        <v>-120</v>
      </c>
      <c r="I520" s="81">
        <f t="shared" si="126"/>
        <v>1124</v>
      </c>
      <c r="J520" s="81"/>
      <c r="K520" s="154">
        <f t="shared" si="127"/>
        <v>1124</v>
      </c>
      <c r="L520" s="81">
        <v>6</v>
      </c>
      <c r="M520" s="81"/>
      <c r="N520" s="81"/>
    </row>
    <row r="521" spans="1:14" x14ac:dyDescent="0.25">
      <c r="A521" s="98">
        <v>3237</v>
      </c>
      <c r="B521" s="700" t="s">
        <v>348</v>
      </c>
      <c r="C521" s="700"/>
      <c r="D521" s="700"/>
      <c r="E521" s="700"/>
      <c r="F521" s="151">
        <v>556.13</v>
      </c>
      <c r="G521" s="151">
        <v>300</v>
      </c>
      <c r="H521" s="151">
        <v>1120</v>
      </c>
      <c r="I521" s="81">
        <f t="shared" si="126"/>
        <v>1420</v>
      </c>
      <c r="J521" s="81"/>
      <c r="K521" s="154">
        <f t="shared" si="127"/>
        <v>1420</v>
      </c>
      <c r="L521" s="81"/>
      <c r="M521" s="81"/>
      <c r="N521" s="81"/>
    </row>
    <row r="522" spans="1:14" x14ac:dyDescent="0.25">
      <c r="A522" s="98">
        <v>3238</v>
      </c>
      <c r="B522" s="700" t="s">
        <v>309</v>
      </c>
      <c r="C522" s="700"/>
      <c r="D522" s="700"/>
      <c r="E522" s="700"/>
      <c r="F522" s="151">
        <v>249.23</v>
      </c>
      <c r="G522" s="151">
        <v>650</v>
      </c>
      <c r="H522" s="151"/>
      <c r="I522" s="81">
        <f t="shared" si="126"/>
        <v>650</v>
      </c>
      <c r="J522" s="81"/>
      <c r="K522" s="154">
        <f t="shared" si="127"/>
        <v>650</v>
      </c>
      <c r="L522" s="81"/>
      <c r="M522" s="81"/>
      <c r="N522" s="81"/>
    </row>
    <row r="523" spans="1:14" x14ac:dyDescent="0.25">
      <c r="A523" s="98">
        <v>3239</v>
      </c>
      <c r="B523" s="62" t="s">
        <v>349</v>
      </c>
      <c r="F523" s="151">
        <v>17.63</v>
      </c>
      <c r="G523" s="151">
        <v>100</v>
      </c>
      <c r="H523" s="151"/>
      <c r="I523" s="81">
        <f t="shared" si="126"/>
        <v>100</v>
      </c>
      <c r="J523" s="81"/>
      <c r="K523" s="154">
        <f t="shared" si="127"/>
        <v>100</v>
      </c>
      <c r="L523" s="81"/>
      <c r="M523" s="81"/>
      <c r="N523" s="81"/>
    </row>
    <row r="524" spans="1:14" x14ac:dyDescent="0.25">
      <c r="A524" s="97">
        <v>329</v>
      </c>
      <c r="B524" s="63" t="s">
        <v>310</v>
      </c>
      <c r="C524" s="63"/>
      <c r="D524" s="63"/>
      <c r="E524" s="63"/>
      <c r="F524" s="96">
        <f>SUM(F525:F529)</f>
        <v>578.88</v>
      </c>
      <c r="G524" s="96">
        <f>SUM(G525:G529)</f>
        <v>2746</v>
      </c>
      <c r="H524" s="96">
        <f>SUM(H525:H529)</f>
        <v>-100</v>
      </c>
      <c r="I524" s="114">
        <f t="shared" si="126"/>
        <v>2646</v>
      </c>
      <c r="J524" s="114"/>
      <c r="K524" s="155">
        <f t="shared" si="127"/>
        <v>2646</v>
      </c>
      <c r="L524" s="114"/>
      <c r="M524" s="114"/>
      <c r="N524" s="114"/>
    </row>
    <row r="525" spans="1:14" x14ac:dyDescent="0.25">
      <c r="A525" s="98">
        <v>3291</v>
      </c>
      <c r="B525" s="62" t="s">
        <v>311</v>
      </c>
      <c r="F525" s="151">
        <v>485.16</v>
      </c>
      <c r="G525" s="151">
        <v>2300</v>
      </c>
      <c r="H525" s="151">
        <v>-300</v>
      </c>
      <c r="I525" s="81">
        <f t="shared" si="126"/>
        <v>2000</v>
      </c>
      <c r="J525" s="81"/>
      <c r="K525" s="154">
        <f t="shared" si="127"/>
        <v>2000</v>
      </c>
      <c r="L525" s="81">
        <v>-200</v>
      </c>
      <c r="M525" s="81"/>
      <c r="N525" s="81"/>
    </row>
    <row r="526" spans="1:14" x14ac:dyDescent="0.25">
      <c r="A526" s="98">
        <v>3295</v>
      </c>
      <c r="B526" s="700" t="s">
        <v>729</v>
      </c>
      <c r="C526" s="700"/>
      <c r="D526" s="700"/>
      <c r="E526" s="700"/>
      <c r="F526" s="151">
        <v>63.72</v>
      </c>
      <c r="G526" s="151">
        <v>132</v>
      </c>
      <c r="H526" s="151"/>
      <c r="I526" s="81">
        <f t="shared" si="126"/>
        <v>132</v>
      </c>
      <c r="J526" s="81"/>
      <c r="K526" s="154">
        <f t="shared" si="127"/>
        <v>132</v>
      </c>
      <c r="L526" s="81"/>
      <c r="M526" s="81"/>
      <c r="N526" s="81"/>
    </row>
    <row r="527" spans="1:14" x14ac:dyDescent="0.25">
      <c r="A527" s="98">
        <v>3294</v>
      </c>
      <c r="B527" s="58" t="s">
        <v>312</v>
      </c>
      <c r="C527" s="58"/>
      <c r="D527" s="58"/>
      <c r="E527" s="58"/>
      <c r="F527" s="151"/>
      <c r="G527" s="151">
        <v>14</v>
      </c>
      <c r="H527" s="151"/>
      <c r="I527" s="81">
        <f t="shared" si="126"/>
        <v>14</v>
      </c>
      <c r="J527" s="81"/>
      <c r="K527" s="154">
        <f t="shared" si="127"/>
        <v>14</v>
      </c>
      <c r="L527" s="81"/>
      <c r="M527" s="81"/>
      <c r="N527" s="81"/>
    </row>
    <row r="528" spans="1:14" x14ac:dyDescent="0.25">
      <c r="A528" s="98"/>
      <c r="B528" s="700" t="s">
        <v>313</v>
      </c>
      <c r="C528" s="700"/>
      <c r="D528" s="700"/>
      <c r="E528" s="700"/>
      <c r="F528" s="151"/>
      <c r="G528" s="151">
        <v>150</v>
      </c>
      <c r="H528" s="151"/>
      <c r="I528" s="81">
        <f t="shared" si="126"/>
        <v>150</v>
      </c>
      <c r="J528" s="81"/>
      <c r="K528" s="154">
        <f t="shared" si="127"/>
        <v>150</v>
      </c>
      <c r="L528" s="81">
        <v>-156</v>
      </c>
      <c r="M528" s="81"/>
      <c r="N528" s="81"/>
    </row>
    <row r="529" spans="1:15" x14ac:dyDescent="0.25">
      <c r="A529" s="98">
        <v>3293</v>
      </c>
      <c r="B529" s="62" t="s">
        <v>192</v>
      </c>
      <c r="F529" s="151">
        <v>30</v>
      </c>
      <c r="G529" s="151">
        <v>150</v>
      </c>
      <c r="H529" s="151">
        <v>200</v>
      </c>
      <c r="I529" s="81">
        <f t="shared" si="126"/>
        <v>350</v>
      </c>
      <c r="J529" s="81"/>
      <c r="K529" s="154">
        <f t="shared" si="127"/>
        <v>350</v>
      </c>
      <c r="L529" s="81"/>
      <c r="M529" s="81"/>
      <c r="N529" s="81"/>
    </row>
    <row r="530" spans="1:15" x14ac:dyDescent="0.25">
      <c r="A530" s="97">
        <v>34</v>
      </c>
      <c r="B530" s="63" t="s">
        <v>174</v>
      </c>
      <c r="C530" s="63"/>
      <c r="D530" s="63"/>
      <c r="E530" s="63"/>
      <c r="F530" s="96">
        <f t="shared" ref="F530:H530" si="129">F531</f>
        <v>347.94</v>
      </c>
      <c r="G530" s="96">
        <f t="shared" si="129"/>
        <v>768</v>
      </c>
      <c r="H530" s="96">
        <f t="shared" si="129"/>
        <v>240</v>
      </c>
      <c r="I530" s="114">
        <f t="shared" si="126"/>
        <v>1008</v>
      </c>
      <c r="J530" s="114"/>
      <c r="K530" s="155">
        <f t="shared" si="127"/>
        <v>1008</v>
      </c>
      <c r="L530" s="114"/>
      <c r="M530" s="114"/>
      <c r="N530" s="114"/>
    </row>
    <row r="531" spans="1:15" x14ac:dyDescent="0.25">
      <c r="A531" s="97">
        <v>343</v>
      </c>
      <c r="B531" s="63" t="s">
        <v>175</v>
      </c>
      <c r="C531" s="63"/>
      <c r="D531" s="63"/>
      <c r="E531" s="63"/>
      <c r="F531" s="96">
        <f>F532+F534+F533</f>
        <v>347.94</v>
      </c>
      <c r="G531" s="96">
        <f>G532+G534+G533</f>
        <v>768</v>
      </c>
      <c r="H531" s="96">
        <f>H532+H534+H533</f>
        <v>240</v>
      </c>
      <c r="I531" s="114">
        <f t="shared" si="126"/>
        <v>1008</v>
      </c>
      <c r="J531" s="114"/>
      <c r="K531" s="155">
        <f t="shared" si="127"/>
        <v>1008</v>
      </c>
      <c r="L531" s="114"/>
      <c r="M531" s="114"/>
      <c r="N531" s="114"/>
    </row>
    <row r="532" spans="1:15" x14ac:dyDescent="0.25">
      <c r="A532" s="98">
        <v>3431</v>
      </c>
      <c r="B532" s="62" t="s">
        <v>243</v>
      </c>
      <c r="F532" s="73">
        <v>347.94</v>
      </c>
      <c r="G532" s="73">
        <v>708</v>
      </c>
      <c r="H532" s="73">
        <v>240</v>
      </c>
      <c r="I532" s="81">
        <f t="shared" si="126"/>
        <v>948</v>
      </c>
      <c r="J532" s="81"/>
      <c r="K532" s="154">
        <f t="shared" si="127"/>
        <v>948</v>
      </c>
      <c r="L532" s="81">
        <v>2</v>
      </c>
      <c r="M532" s="81"/>
      <c r="N532" s="81"/>
    </row>
    <row r="533" spans="1:15" x14ac:dyDescent="0.25">
      <c r="A533" s="98">
        <v>3433</v>
      </c>
      <c r="B533" s="62" t="s">
        <v>350</v>
      </c>
      <c r="F533" s="73"/>
      <c r="G533" s="73">
        <v>10</v>
      </c>
      <c r="H533" s="73"/>
      <c r="I533" s="81">
        <f t="shared" si="126"/>
        <v>10</v>
      </c>
      <c r="J533" s="81"/>
      <c r="K533" s="154">
        <f t="shared" si="127"/>
        <v>10</v>
      </c>
      <c r="L533" s="81"/>
      <c r="M533" s="81"/>
      <c r="N533" s="81"/>
    </row>
    <row r="534" spans="1:15" x14ac:dyDescent="0.25">
      <c r="A534" s="98">
        <v>3434</v>
      </c>
      <c r="B534" s="62" t="s">
        <v>314</v>
      </c>
      <c r="F534" s="73"/>
      <c r="G534" s="73">
        <v>50</v>
      </c>
      <c r="H534" s="73"/>
      <c r="I534" s="81">
        <f t="shared" si="126"/>
        <v>50</v>
      </c>
      <c r="J534" s="81"/>
      <c r="K534" s="154">
        <f t="shared" si="127"/>
        <v>50</v>
      </c>
      <c r="L534" s="81">
        <v>-50</v>
      </c>
      <c r="M534" s="81"/>
      <c r="N534" s="81"/>
    </row>
    <row r="535" spans="1:15" x14ac:dyDescent="0.25">
      <c r="A535" s="97">
        <v>4</v>
      </c>
      <c r="B535" s="63" t="s">
        <v>315</v>
      </c>
      <c r="C535" s="63"/>
      <c r="D535" s="63"/>
      <c r="E535" s="63"/>
      <c r="F535" s="96">
        <f>F536</f>
        <v>1901.49</v>
      </c>
      <c r="G535" s="96">
        <f>G536</f>
        <v>2100</v>
      </c>
      <c r="H535" s="96">
        <f>H536</f>
        <v>3700</v>
      </c>
      <c r="I535" s="114">
        <f t="shared" si="126"/>
        <v>5800</v>
      </c>
      <c r="J535" s="114"/>
      <c r="K535" s="155">
        <f t="shared" si="127"/>
        <v>5800</v>
      </c>
      <c r="L535" s="114"/>
      <c r="M535" s="114"/>
      <c r="N535" s="114"/>
    </row>
    <row r="536" spans="1:15" x14ac:dyDescent="0.25">
      <c r="A536" s="97">
        <v>42</v>
      </c>
      <c r="B536" s="63" t="s">
        <v>287</v>
      </c>
      <c r="C536" s="63"/>
      <c r="D536" s="63"/>
      <c r="E536" s="63"/>
      <c r="F536" s="96">
        <f t="shared" ref="F536:H536" si="130">F537</f>
        <v>1901.49</v>
      </c>
      <c r="G536" s="96">
        <f t="shared" si="130"/>
        <v>2100</v>
      </c>
      <c r="H536" s="96">
        <f t="shared" si="130"/>
        <v>3700</v>
      </c>
      <c r="I536" s="114">
        <f t="shared" si="126"/>
        <v>5800</v>
      </c>
      <c r="J536" s="114"/>
      <c r="K536" s="155">
        <f t="shared" si="127"/>
        <v>5800</v>
      </c>
      <c r="L536" s="114"/>
      <c r="M536" s="114"/>
      <c r="N536" s="114"/>
    </row>
    <row r="537" spans="1:15" x14ac:dyDescent="0.25">
      <c r="A537" s="97">
        <v>422</v>
      </c>
      <c r="B537" s="63" t="s">
        <v>183</v>
      </c>
      <c r="C537" s="63"/>
      <c r="D537" s="63"/>
      <c r="E537" s="63"/>
      <c r="F537" s="96">
        <f>F538+F539</f>
        <v>1901.49</v>
      </c>
      <c r="G537" s="96">
        <f>G538+G539</f>
        <v>2100</v>
      </c>
      <c r="H537" s="96">
        <f>H538+H539</f>
        <v>3700</v>
      </c>
      <c r="I537" s="114">
        <f t="shared" si="126"/>
        <v>5800</v>
      </c>
      <c r="J537" s="114"/>
      <c r="K537" s="155">
        <f t="shared" si="127"/>
        <v>5800</v>
      </c>
      <c r="L537" s="114"/>
      <c r="M537" s="114"/>
      <c r="N537" s="114"/>
    </row>
    <row r="538" spans="1:15" x14ac:dyDescent="0.25">
      <c r="A538" s="98">
        <v>4221</v>
      </c>
      <c r="B538" s="62" t="s">
        <v>493</v>
      </c>
      <c r="F538" s="81">
        <v>1901.49</v>
      </c>
      <c r="G538" s="81">
        <v>400</v>
      </c>
      <c r="H538" s="81"/>
      <c r="I538" s="81">
        <f t="shared" si="126"/>
        <v>400</v>
      </c>
      <c r="J538" s="81"/>
      <c r="K538" s="154">
        <f t="shared" si="127"/>
        <v>400</v>
      </c>
      <c r="L538" s="81"/>
      <c r="M538" s="81"/>
      <c r="N538" s="81"/>
    </row>
    <row r="539" spans="1:15" x14ac:dyDescent="0.25">
      <c r="A539" s="98">
        <v>4227</v>
      </c>
      <c r="B539" s="700" t="s">
        <v>494</v>
      </c>
      <c r="C539" s="700"/>
      <c r="D539" s="700"/>
      <c r="E539" s="700"/>
      <c r="F539" s="73"/>
      <c r="G539" s="73">
        <v>1700</v>
      </c>
      <c r="H539" s="73">
        <v>3700</v>
      </c>
      <c r="I539" s="81">
        <f t="shared" si="126"/>
        <v>5400</v>
      </c>
      <c r="J539" s="81"/>
      <c r="K539" s="154">
        <f t="shared" si="127"/>
        <v>5400</v>
      </c>
      <c r="L539" s="81"/>
      <c r="M539" s="81"/>
      <c r="N539" s="81"/>
    </row>
    <row r="540" spans="1:15" x14ac:dyDescent="0.25">
      <c r="A540" s="77" t="s">
        <v>418</v>
      </c>
      <c r="B540" s="77"/>
      <c r="C540" s="77"/>
      <c r="D540" s="77"/>
      <c r="E540" s="77"/>
      <c r="F540" s="78">
        <f>F542+F558+F567</f>
        <v>2758.13</v>
      </c>
      <c r="G540" s="78">
        <f>G542+G558+G567</f>
        <v>13500</v>
      </c>
      <c r="H540" s="78">
        <f t="shared" ref="H540" si="131">H542+H558+H567</f>
        <v>14500</v>
      </c>
      <c r="I540" s="78">
        <f>I542+I558</f>
        <v>24500</v>
      </c>
      <c r="J540" s="78">
        <f t="shared" ref="J540:K540" si="132">J542+J558</f>
        <v>-550</v>
      </c>
      <c r="K540" s="78">
        <f t="shared" si="132"/>
        <v>23950</v>
      </c>
      <c r="L540" s="363"/>
      <c r="M540" s="363"/>
      <c r="N540" s="363"/>
    </row>
    <row r="541" spans="1:15" x14ac:dyDescent="0.25">
      <c r="A541" s="185" t="s">
        <v>459</v>
      </c>
      <c r="B541" s="182"/>
      <c r="C541" s="182"/>
      <c r="D541" s="183"/>
      <c r="E541" s="184"/>
      <c r="F541" s="184"/>
      <c r="G541" s="184"/>
      <c r="H541" s="184"/>
      <c r="I541" s="184"/>
      <c r="J541" s="184"/>
      <c r="K541" s="155"/>
      <c r="L541" s="184"/>
      <c r="M541" s="184"/>
      <c r="N541" s="184"/>
      <c r="O541" s="192"/>
    </row>
    <row r="542" spans="1:15" x14ac:dyDescent="0.25">
      <c r="A542" s="715" t="s">
        <v>316</v>
      </c>
      <c r="B542" s="716"/>
      <c r="C542" s="716"/>
      <c r="D542" s="716"/>
      <c r="E542" s="717"/>
      <c r="F542" s="94">
        <f>F544</f>
        <v>2758.13</v>
      </c>
      <c r="G542" s="94">
        <f>G544</f>
        <v>6000</v>
      </c>
      <c r="H542" s="94">
        <f>H544+H554</f>
        <v>14500</v>
      </c>
      <c r="I542" s="249">
        <f>G542+H542</f>
        <v>20500</v>
      </c>
      <c r="J542" s="249">
        <f>J546+J549+J555</f>
        <v>-550</v>
      </c>
      <c r="K542" s="197">
        <f>I542+J542</f>
        <v>19950</v>
      </c>
      <c r="L542" s="249"/>
      <c r="M542" s="249"/>
      <c r="N542" s="249">
        <f>N546+N549+N555</f>
        <v>15740.61</v>
      </c>
    </row>
    <row r="543" spans="1:15" x14ac:dyDescent="0.25">
      <c r="A543" s="109"/>
      <c r="B543" s="110"/>
      <c r="C543" s="110"/>
      <c r="D543" s="110"/>
      <c r="E543" s="110"/>
      <c r="K543" s="155"/>
    </row>
    <row r="544" spans="1:15" x14ac:dyDescent="0.25">
      <c r="A544" s="97">
        <v>3</v>
      </c>
      <c r="B544" s="63" t="s">
        <v>19</v>
      </c>
      <c r="C544" s="63"/>
      <c r="D544" s="63"/>
      <c r="E544" s="63"/>
      <c r="F544" s="79">
        <f>F547</f>
        <v>2758.13</v>
      </c>
      <c r="G544" s="79">
        <f>G547</f>
        <v>6000</v>
      </c>
      <c r="H544" s="79">
        <f>H547+H551</f>
        <v>3200</v>
      </c>
      <c r="I544" s="79">
        <f>G544+H544</f>
        <v>9200</v>
      </c>
      <c r="J544" s="79"/>
      <c r="K544" s="155">
        <f>I544+J544</f>
        <v>9200</v>
      </c>
      <c r="L544" s="79"/>
      <c r="M544" s="79"/>
      <c r="N544" s="79"/>
    </row>
    <row r="545" spans="1:21" x14ac:dyDescent="0.25">
      <c r="A545" s="97"/>
      <c r="B545" s="63" t="s">
        <v>870</v>
      </c>
      <c r="C545" s="63"/>
      <c r="D545" s="63"/>
      <c r="E545" s="63"/>
      <c r="F545" s="79"/>
      <c r="G545" s="79"/>
      <c r="H545" s="79"/>
      <c r="I545" s="79"/>
      <c r="J545" s="79"/>
      <c r="K545" s="155"/>
      <c r="L545" s="79"/>
      <c r="M545" s="79"/>
      <c r="N545" s="79"/>
    </row>
    <row r="546" spans="1:21" x14ac:dyDescent="0.25">
      <c r="A546" s="97"/>
      <c r="B546" s="63" t="s">
        <v>805</v>
      </c>
      <c r="C546" s="63"/>
      <c r="D546" s="63"/>
      <c r="E546" s="63"/>
      <c r="F546" s="79"/>
      <c r="G546" s="79"/>
      <c r="H546" s="79"/>
      <c r="I546" s="79"/>
      <c r="J546" s="250">
        <v>8450</v>
      </c>
      <c r="K546" s="154">
        <f t="shared" ref="K546:K553" si="133">I546+J546</f>
        <v>8450</v>
      </c>
      <c r="L546" s="79">
        <v>500</v>
      </c>
      <c r="M546" s="79"/>
      <c r="N546" s="79">
        <f>7210+597.21</f>
        <v>7807.21</v>
      </c>
      <c r="O546" s="150" t="s">
        <v>820</v>
      </c>
      <c r="P546" s="7" t="s">
        <v>829</v>
      </c>
    </row>
    <row r="547" spans="1:21" x14ac:dyDescent="0.25">
      <c r="A547" s="97">
        <v>36</v>
      </c>
      <c r="B547" s="63" t="s">
        <v>257</v>
      </c>
      <c r="C547" s="63"/>
      <c r="D547" s="63"/>
      <c r="E547" s="63"/>
      <c r="F547" s="79">
        <f t="shared" ref="F547:H547" si="134">F548</f>
        <v>2758.13</v>
      </c>
      <c r="G547" s="79">
        <f t="shared" si="134"/>
        <v>6000</v>
      </c>
      <c r="H547" s="79">
        <f t="shared" si="134"/>
        <v>3100</v>
      </c>
      <c r="I547" s="79">
        <f t="shared" ref="I547:I553" si="135">G547+H547</f>
        <v>9100</v>
      </c>
      <c r="J547" s="79"/>
      <c r="K547" s="155">
        <f t="shared" si="133"/>
        <v>9100</v>
      </c>
      <c r="L547" s="79"/>
      <c r="M547" s="79"/>
      <c r="N547" s="79"/>
    </row>
    <row r="548" spans="1:21" x14ac:dyDescent="0.25">
      <c r="A548" s="97">
        <v>363</v>
      </c>
      <c r="B548" s="63" t="s">
        <v>257</v>
      </c>
      <c r="C548" s="63"/>
      <c r="D548" s="63"/>
      <c r="E548" s="63"/>
      <c r="F548" s="79">
        <f>F549+F550</f>
        <v>2758.13</v>
      </c>
      <c r="G548" s="79">
        <f>G549+G550</f>
        <v>6000</v>
      </c>
      <c r="H548" s="79">
        <f>H549+H550</f>
        <v>3100</v>
      </c>
      <c r="I548" s="79">
        <f t="shared" si="135"/>
        <v>9100</v>
      </c>
      <c r="J548" s="79"/>
      <c r="K548" s="155">
        <f t="shared" si="133"/>
        <v>9100</v>
      </c>
      <c r="L548" s="79"/>
      <c r="M548" s="79"/>
      <c r="N548" s="79"/>
    </row>
    <row r="549" spans="1:21" x14ac:dyDescent="0.25">
      <c r="A549" s="98">
        <v>3631</v>
      </c>
      <c r="B549" s="62" t="s">
        <v>582</v>
      </c>
      <c r="F549" s="7">
        <v>2758.13</v>
      </c>
      <c r="G549" s="7">
        <v>6000</v>
      </c>
      <c r="H549" s="7">
        <f>3200-100</f>
        <v>3100</v>
      </c>
      <c r="I549" s="73">
        <f t="shared" si="135"/>
        <v>9100</v>
      </c>
      <c r="J549" s="73">
        <v>-1600</v>
      </c>
      <c r="K549" s="154">
        <f t="shared" si="133"/>
        <v>7500</v>
      </c>
      <c r="L549" s="73"/>
      <c r="M549" s="73"/>
      <c r="N549" s="73">
        <f>3813.4+120+100</f>
        <v>4033.4</v>
      </c>
      <c r="O549" s="7" t="s">
        <v>763</v>
      </c>
    </row>
    <row r="550" spans="1:21" x14ac:dyDescent="0.25">
      <c r="A550" s="100"/>
      <c r="B550" s="62" t="s">
        <v>790</v>
      </c>
      <c r="C550" s="62"/>
      <c r="D550" s="62"/>
      <c r="I550" s="73"/>
      <c r="J550" s="73"/>
      <c r="K550" s="154"/>
      <c r="L550" s="73"/>
      <c r="M550" s="73"/>
      <c r="N550" s="73"/>
    </row>
    <row r="551" spans="1:21" x14ac:dyDescent="0.25">
      <c r="A551" s="97">
        <v>37</v>
      </c>
      <c r="B551" s="63" t="s">
        <v>178</v>
      </c>
      <c r="C551" s="62"/>
      <c r="D551" s="62"/>
      <c r="E551" s="62"/>
      <c r="H551" s="190">
        <f>H552</f>
        <v>100</v>
      </c>
      <c r="I551" s="79">
        <f t="shared" si="135"/>
        <v>100</v>
      </c>
      <c r="J551" s="79"/>
      <c r="K551" s="155">
        <f t="shared" si="133"/>
        <v>100</v>
      </c>
      <c r="L551" s="79"/>
      <c r="M551" s="79"/>
      <c r="N551" s="79"/>
    </row>
    <row r="552" spans="1:21" x14ac:dyDescent="0.25">
      <c r="A552" s="97">
        <v>372</v>
      </c>
      <c r="B552" s="63" t="s">
        <v>178</v>
      </c>
      <c r="C552" s="62"/>
      <c r="D552" s="62"/>
      <c r="E552" s="62"/>
      <c r="H552" s="190">
        <f>H553</f>
        <v>100</v>
      </c>
      <c r="I552" s="79">
        <f t="shared" si="135"/>
        <v>100</v>
      </c>
      <c r="J552" s="79"/>
      <c r="K552" s="155">
        <f t="shared" si="133"/>
        <v>100</v>
      </c>
      <c r="L552" s="79"/>
      <c r="M552" s="79"/>
      <c r="N552" s="79"/>
    </row>
    <row r="553" spans="1:21" x14ac:dyDescent="0.25">
      <c r="A553" s="100">
        <v>3721</v>
      </c>
      <c r="B553" s="62" t="s">
        <v>789</v>
      </c>
      <c r="C553" s="62"/>
      <c r="D553" s="62"/>
      <c r="E553" s="62"/>
      <c r="H553" s="7">
        <v>100</v>
      </c>
      <c r="I553" s="73">
        <f t="shared" si="135"/>
        <v>100</v>
      </c>
      <c r="J553" s="73"/>
      <c r="K553" s="154">
        <f t="shared" si="133"/>
        <v>100</v>
      </c>
      <c r="L553" s="73"/>
      <c r="M553" s="73"/>
      <c r="N553" s="73"/>
    </row>
    <row r="554" spans="1:21" s="145" customFormat="1" x14ac:dyDescent="0.25">
      <c r="A554" s="97">
        <v>42</v>
      </c>
      <c r="B554" s="749" t="s">
        <v>761</v>
      </c>
      <c r="C554" s="749"/>
      <c r="D554" s="749"/>
      <c r="E554" s="749"/>
      <c r="F554" s="190"/>
      <c r="G554" s="190"/>
      <c r="H554" s="190">
        <f>H555</f>
        <v>11300</v>
      </c>
      <c r="I554" s="79">
        <f>G554+H554</f>
        <v>11300</v>
      </c>
      <c r="J554" s="79"/>
      <c r="K554" s="155">
        <f>K555</f>
        <v>3900</v>
      </c>
      <c r="L554" s="79"/>
      <c r="M554" s="79"/>
      <c r="N554" s="79"/>
      <c r="O554" s="190"/>
      <c r="P554" s="190"/>
      <c r="Q554" s="190"/>
      <c r="R554" s="190"/>
      <c r="S554" s="190"/>
      <c r="T554" s="190"/>
      <c r="U554" s="190"/>
    </row>
    <row r="555" spans="1:21" x14ac:dyDescent="0.25">
      <c r="A555" s="100">
        <v>4226</v>
      </c>
      <c r="B555" s="62" t="s">
        <v>762</v>
      </c>
      <c r="C555" s="62"/>
      <c r="D555" s="62"/>
      <c r="H555" s="7">
        <v>11300</v>
      </c>
      <c r="I555" s="79"/>
      <c r="J555" s="73">
        <v>-7400</v>
      </c>
      <c r="K555" s="154">
        <v>3900</v>
      </c>
      <c r="L555" s="79"/>
      <c r="M555" s="79"/>
      <c r="N555" s="79">
        <v>3900</v>
      </c>
      <c r="O555" s="7" t="s">
        <v>760</v>
      </c>
    </row>
    <row r="556" spans="1:21" x14ac:dyDescent="0.25">
      <c r="A556" s="100"/>
      <c r="B556" s="62"/>
      <c r="C556" s="62"/>
      <c r="D556" s="62"/>
      <c r="K556" s="155"/>
    </row>
    <row r="557" spans="1:21" x14ac:dyDescent="0.25">
      <c r="A557" s="185" t="s">
        <v>459</v>
      </c>
      <c r="B557" s="182"/>
      <c r="C557" s="182"/>
      <c r="D557" s="183"/>
      <c r="E557" s="184"/>
      <c r="F557" s="184"/>
      <c r="G557" s="184"/>
      <c r="H557" s="184"/>
      <c r="I557" s="184"/>
      <c r="J557" s="184"/>
      <c r="K557" s="155"/>
      <c r="L557" s="184"/>
      <c r="M557" s="184"/>
      <c r="N557" s="184"/>
      <c r="O557" s="192"/>
    </row>
    <row r="558" spans="1:21" x14ac:dyDescent="0.25">
      <c r="A558" s="172" t="s">
        <v>400</v>
      </c>
      <c r="B558" s="173"/>
      <c r="C558" s="173"/>
      <c r="D558" s="173"/>
      <c r="E558" s="163"/>
      <c r="F558" s="198">
        <f>F560</f>
        <v>0</v>
      </c>
      <c r="G558" s="198">
        <f>G560</f>
        <v>4000</v>
      </c>
      <c r="H558" s="198">
        <f>H560</f>
        <v>0</v>
      </c>
      <c r="I558" s="198">
        <f>G558+H558</f>
        <v>4000</v>
      </c>
      <c r="J558" s="198"/>
      <c r="K558" s="197">
        <f>J558+I558</f>
        <v>4000</v>
      </c>
      <c r="L558" s="198"/>
      <c r="M558" s="198"/>
      <c r="N558" s="198">
        <f>N563</f>
        <v>3640</v>
      </c>
    </row>
    <row r="559" spans="1:21" x14ac:dyDescent="0.25">
      <c r="A559" s="100"/>
      <c r="B559" s="62"/>
      <c r="C559" s="62"/>
      <c r="D559" s="62"/>
      <c r="E559" s="62"/>
      <c r="K559" s="155"/>
    </row>
    <row r="560" spans="1:21" x14ac:dyDescent="0.25">
      <c r="A560" s="97">
        <v>3</v>
      </c>
      <c r="B560" s="63" t="s">
        <v>19</v>
      </c>
      <c r="C560" s="62"/>
      <c r="D560" s="62"/>
      <c r="E560" s="62"/>
      <c r="F560" s="190">
        <f t="shared" ref="F560:H562" si="136">F561</f>
        <v>0</v>
      </c>
      <c r="G560" s="190">
        <f t="shared" si="136"/>
        <v>4000</v>
      </c>
      <c r="H560" s="190">
        <f t="shared" si="136"/>
        <v>0</v>
      </c>
      <c r="I560" s="190">
        <f>G560+H560</f>
        <v>4000</v>
      </c>
      <c r="J560" s="190"/>
      <c r="K560" s="155">
        <f>I560+J560</f>
        <v>4000</v>
      </c>
      <c r="L560" s="190"/>
      <c r="M560" s="190"/>
      <c r="N560" s="190"/>
    </row>
    <row r="561" spans="1:16" x14ac:dyDescent="0.25">
      <c r="A561" s="97">
        <v>37</v>
      </c>
      <c r="B561" s="63" t="s">
        <v>178</v>
      </c>
      <c r="C561" s="62"/>
      <c r="D561" s="62"/>
      <c r="E561" s="62"/>
      <c r="F561" s="190">
        <f t="shared" si="136"/>
        <v>0</v>
      </c>
      <c r="G561" s="190">
        <f t="shared" si="136"/>
        <v>4000</v>
      </c>
      <c r="H561" s="190">
        <f t="shared" si="136"/>
        <v>0</v>
      </c>
      <c r="I561" s="190">
        <f t="shared" ref="I561:I563" si="137">G561+H561</f>
        <v>4000</v>
      </c>
      <c r="J561" s="190"/>
      <c r="K561" s="155">
        <f t="shared" ref="K561:K563" si="138">I561+J561</f>
        <v>4000</v>
      </c>
      <c r="L561" s="190"/>
      <c r="M561" s="190"/>
      <c r="N561" s="190"/>
    </row>
    <row r="562" spans="1:16" x14ac:dyDescent="0.25">
      <c r="A562" s="97">
        <v>372</v>
      </c>
      <c r="B562" s="63" t="s">
        <v>178</v>
      </c>
      <c r="C562" s="62"/>
      <c r="D562" s="62"/>
      <c r="E562" s="62"/>
      <c r="F562" s="190">
        <f t="shared" si="136"/>
        <v>0</v>
      </c>
      <c r="G562" s="190">
        <f t="shared" si="136"/>
        <v>4000</v>
      </c>
      <c r="H562" s="190">
        <f t="shared" si="136"/>
        <v>0</v>
      </c>
      <c r="I562" s="190">
        <f t="shared" si="137"/>
        <v>4000</v>
      </c>
      <c r="J562" s="190"/>
      <c r="K562" s="155">
        <f t="shared" si="138"/>
        <v>4000</v>
      </c>
      <c r="L562" s="190"/>
      <c r="M562" s="190"/>
      <c r="N562" s="190"/>
    </row>
    <row r="563" spans="1:16" x14ac:dyDescent="0.25">
      <c r="A563" s="100">
        <v>3721</v>
      </c>
      <c r="B563" s="62" t="s">
        <v>334</v>
      </c>
      <c r="C563" s="62"/>
      <c r="D563" s="62"/>
      <c r="E563" s="62"/>
      <c r="G563" s="7">
        <v>4000</v>
      </c>
      <c r="I563" s="7">
        <f t="shared" si="137"/>
        <v>4000</v>
      </c>
      <c r="K563" s="154">
        <f t="shared" si="138"/>
        <v>4000</v>
      </c>
      <c r="L563" s="7">
        <v>-300</v>
      </c>
      <c r="N563" s="7">
        <v>3640</v>
      </c>
      <c r="O563" s="7" t="s">
        <v>487</v>
      </c>
      <c r="P563" s="7">
        <f>40*90</f>
        <v>3600</v>
      </c>
    </row>
    <row r="564" spans="1:16" x14ac:dyDescent="0.25">
      <c r="A564" s="100"/>
      <c r="B564" s="62"/>
      <c r="C564" s="62"/>
      <c r="D564" s="62"/>
      <c r="E564" s="62"/>
      <c r="K564" s="154"/>
    </row>
    <row r="565" spans="1:16" x14ac:dyDescent="0.25">
      <c r="A565" s="77" t="s">
        <v>848</v>
      </c>
      <c r="B565" s="77"/>
      <c r="C565" s="77"/>
      <c r="D565" s="77"/>
      <c r="E565" s="77"/>
      <c r="G565" s="448"/>
      <c r="H565" s="448"/>
      <c r="I565" s="448">
        <f>I567</f>
        <v>3500</v>
      </c>
      <c r="J565" s="448"/>
      <c r="K565" s="367">
        <f>I565+J565</f>
        <v>3500</v>
      </c>
      <c r="L565" s="448"/>
      <c r="M565" s="448"/>
      <c r="N565" s="448"/>
    </row>
    <row r="566" spans="1:16" x14ac:dyDescent="0.25">
      <c r="A566" s="185" t="s">
        <v>460</v>
      </c>
      <c r="B566" s="182"/>
      <c r="C566" s="182"/>
      <c r="D566" s="183"/>
      <c r="E566" s="184"/>
      <c r="F566" s="184"/>
      <c r="G566" s="184"/>
      <c r="H566" s="184"/>
      <c r="I566" s="184"/>
      <c r="J566" s="184"/>
      <c r="K566" s="155"/>
      <c r="L566" s="184"/>
      <c r="M566" s="184"/>
      <c r="N566" s="184"/>
      <c r="O566" s="192"/>
    </row>
    <row r="567" spans="1:16" x14ac:dyDescent="0.25">
      <c r="A567" s="771" t="s">
        <v>317</v>
      </c>
      <c r="B567" s="772"/>
      <c r="C567" s="772"/>
      <c r="D567" s="772"/>
      <c r="E567" s="773"/>
      <c r="F567" s="99">
        <f>F569</f>
        <v>0</v>
      </c>
      <c r="G567" s="99">
        <f>G569</f>
        <v>3500</v>
      </c>
      <c r="H567" s="99">
        <f>H569</f>
        <v>0</v>
      </c>
      <c r="I567" s="152">
        <f>G567+H567</f>
        <v>3500</v>
      </c>
      <c r="J567" s="152"/>
      <c r="K567" s="197">
        <f>I567+J567</f>
        <v>3500</v>
      </c>
      <c r="L567" s="152"/>
      <c r="M567" s="152"/>
      <c r="N567" s="152">
        <f>N572</f>
        <v>1120</v>
      </c>
    </row>
    <row r="568" spans="1:16" x14ac:dyDescent="0.25">
      <c r="A568" s="109"/>
      <c r="B568" s="110"/>
      <c r="C568" s="110"/>
      <c r="D568" s="110"/>
      <c r="E568" s="110"/>
      <c r="K568" s="155"/>
    </row>
    <row r="569" spans="1:16" x14ac:dyDescent="0.25">
      <c r="A569" s="97">
        <v>3</v>
      </c>
      <c r="B569" s="63" t="s">
        <v>19</v>
      </c>
      <c r="C569" s="63"/>
      <c r="D569" s="63"/>
      <c r="E569" s="63"/>
      <c r="F569" s="79">
        <f t="shared" ref="F569:H571" si="139">F570</f>
        <v>0</v>
      </c>
      <c r="G569" s="79">
        <f t="shared" si="139"/>
        <v>3500</v>
      </c>
      <c r="H569" s="79">
        <f t="shared" si="139"/>
        <v>0</v>
      </c>
      <c r="I569" s="79">
        <f>G569+H569</f>
        <v>3500</v>
      </c>
      <c r="J569" s="79"/>
      <c r="K569" s="155">
        <f>I569+J569</f>
        <v>3500</v>
      </c>
      <c r="L569" s="79"/>
      <c r="M569" s="79"/>
      <c r="N569" s="79"/>
    </row>
    <row r="570" spans="1:16" x14ac:dyDescent="0.25">
      <c r="A570" s="97">
        <v>37</v>
      </c>
      <c r="B570" s="63" t="s">
        <v>178</v>
      </c>
      <c r="C570" s="63"/>
      <c r="D570" s="63"/>
      <c r="E570" s="63"/>
      <c r="F570" s="79">
        <f t="shared" si="139"/>
        <v>0</v>
      </c>
      <c r="G570" s="79">
        <f t="shared" si="139"/>
        <v>3500</v>
      </c>
      <c r="H570" s="79">
        <f t="shared" si="139"/>
        <v>0</v>
      </c>
      <c r="I570" s="79">
        <f t="shared" ref="I570:I572" si="140">G570+H570</f>
        <v>3500</v>
      </c>
      <c r="J570" s="79"/>
      <c r="K570" s="155">
        <f t="shared" ref="K570:K572" si="141">I570+J570</f>
        <v>3500</v>
      </c>
      <c r="L570" s="79"/>
      <c r="M570" s="79"/>
      <c r="N570" s="79"/>
    </row>
    <row r="571" spans="1:16" x14ac:dyDescent="0.25">
      <c r="A571" s="97">
        <v>372</v>
      </c>
      <c r="B571" s="63" t="s">
        <v>178</v>
      </c>
      <c r="C571" s="63"/>
      <c r="D571" s="63"/>
      <c r="E571" s="63"/>
      <c r="F571" s="79">
        <f t="shared" si="139"/>
        <v>0</v>
      </c>
      <c r="G571" s="79">
        <f t="shared" si="139"/>
        <v>3500</v>
      </c>
      <c r="H571" s="79">
        <f t="shared" si="139"/>
        <v>0</v>
      </c>
      <c r="I571" s="79">
        <f t="shared" si="140"/>
        <v>3500</v>
      </c>
      <c r="J571" s="79"/>
      <c r="K571" s="155">
        <f t="shared" si="141"/>
        <v>3500</v>
      </c>
      <c r="L571" s="79"/>
      <c r="M571" s="79"/>
      <c r="N571" s="79"/>
    </row>
    <row r="572" spans="1:16" x14ac:dyDescent="0.25">
      <c r="A572" s="100">
        <v>3721</v>
      </c>
      <c r="B572" s="62" t="s">
        <v>318</v>
      </c>
      <c r="C572" s="62"/>
      <c r="D572" s="62"/>
      <c r="E572" s="62"/>
      <c r="G572" s="7">
        <v>3500</v>
      </c>
      <c r="I572" s="73">
        <f t="shared" si="140"/>
        <v>3500</v>
      </c>
      <c r="J572" s="73"/>
      <c r="K572" s="154">
        <f t="shared" si="141"/>
        <v>3500</v>
      </c>
      <c r="L572" s="73"/>
      <c r="M572" s="73"/>
      <c r="N572" s="73">
        <v>1120</v>
      </c>
      <c r="O572" s="7" t="s">
        <v>486</v>
      </c>
    </row>
    <row r="573" spans="1:16" x14ac:dyDescent="0.25">
      <c r="A573" s="98"/>
      <c r="K573" s="155"/>
    </row>
    <row r="574" spans="1:16" x14ac:dyDescent="0.25">
      <c r="A574" s="756" t="s">
        <v>419</v>
      </c>
      <c r="B574" s="757"/>
      <c r="C574" s="757"/>
      <c r="D574" s="757"/>
      <c r="E574" s="758"/>
      <c r="F574" s="78">
        <f>F576</f>
        <v>3600</v>
      </c>
      <c r="G574" s="78">
        <f>G576</f>
        <v>10000</v>
      </c>
      <c r="H574" s="78">
        <f t="shared" ref="H574:K574" si="142">H576</f>
        <v>-2000</v>
      </c>
      <c r="I574" s="78">
        <f t="shared" si="142"/>
        <v>8000</v>
      </c>
      <c r="J574" s="78">
        <f t="shared" si="142"/>
        <v>0</v>
      </c>
      <c r="K574" s="78">
        <f t="shared" si="142"/>
        <v>8000</v>
      </c>
      <c r="L574" s="363"/>
      <c r="M574" s="363"/>
      <c r="N574" s="363"/>
    </row>
    <row r="575" spans="1:16" x14ac:dyDescent="0.25">
      <c r="A575" s="185" t="s">
        <v>461</v>
      </c>
      <c r="B575" s="182"/>
      <c r="C575" s="182"/>
      <c r="D575" s="183"/>
      <c r="E575" s="184"/>
      <c r="F575" s="184"/>
      <c r="G575" s="184"/>
      <c r="H575" s="184"/>
      <c r="I575" s="184"/>
      <c r="J575" s="184"/>
      <c r="K575" s="155"/>
      <c r="L575" s="184"/>
      <c r="M575" s="184"/>
      <c r="N575" s="184"/>
      <c r="O575" s="192"/>
    </row>
    <row r="576" spans="1:16" x14ac:dyDescent="0.25">
      <c r="A576" s="102" t="s">
        <v>96</v>
      </c>
      <c r="B576" s="112"/>
      <c r="C576" s="112"/>
      <c r="D576" s="112"/>
      <c r="E576" s="112"/>
      <c r="F576" s="94">
        <f>F578</f>
        <v>3600</v>
      </c>
      <c r="G576" s="94">
        <f>G578</f>
        <v>10000</v>
      </c>
      <c r="H576" s="94">
        <f>H578</f>
        <v>-2000</v>
      </c>
      <c r="I576" s="249">
        <f>G576+H576</f>
        <v>8000</v>
      </c>
      <c r="J576" s="249"/>
      <c r="K576" s="197">
        <f>I576+J576</f>
        <v>8000</v>
      </c>
      <c r="L576" s="249"/>
      <c r="M576" s="249"/>
      <c r="N576" s="249">
        <f>N581</f>
        <v>4200</v>
      </c>
    </row>
    <row r="577" spans="1:15" x14ac:dyDescent="0.25">
      <c r="A577" s="109"/>
      <c r="B577" s="110"/>
      <c r="C577" s="110"/>
      <c r="D577" s="110"/>
      <c r="E577" s="110"/>
      <c r="K577" s="155"/>
    </row>
    <row r="578" spans="1:15" x14ac:dyDescent="0.25">
      <c r="A578" s="97">
        <v>3</v>
      </c>
      <c r="B578" s="63" t="s">
        <v>19</v>
      </c>
      <c r="C578" s="63"/>
      <c r="D578" s="63"/>
      <c r="E578" s="63"/>
      <c r="F578" s="79">
        <f t="shared" ref="F578:H580" si="143">F579</f>
        <v>3600</v>
      </c>
      <c r="G578" s="79">
        <f t="shared" si="143"/>
        <v>10000</v>
      </c>
      <c r="H578" s="79">
        <f t="shared" si="143"/>
        <v>-2000</v>
      </c>
      <c r="I578" s="79">
        <f>G578+H578</f>
        <v>8000</v>
      </c>
      <c r="J578" s="79"/>
      <c r="K578" s="155">
        <f>I578+J578</f>
        <v>8000</v>
      </c>
      <c r="L578" s="79"/>
      <c r="M578" s="79"/>
      <c r="N578" s="79"/>
    </row>
    <row r="579" spans="1:15" x14ac:dyDescent="0.25">
      <c r="A579" s="97">
        <v>37</v>
      </c>
      <c r="B579" s="749" t="s">
        <v>178</v>
      </c>
      <c r="C579" s="749"/>
      <c r="D579" s="749"/>
      <c r="E579" s="749"/>
      <c r="F579" s="79">
        <f t="shared" si="143"/>
        <v>3600</v>
      </c>
      <c r="G579" s="79">
        <f t="shared" si="143"/>
        <v>10000</v>
      </c>
      <c r="H579" s="79">
        <f t="shared" si="143"/>
        <v>-2000</v>
      </c>
      <c r="I579" s="79">
        <f t="shared" ref="I579:I581" si="144">G579+H579</f>
        <v>8000</v>
      </c>
      <c r="J579" s="79"/>
      <c r="K579" s="155">
        <f t="shared" ref="K579:K581" si="145">I579+J579</f>
        <v>8000</v>
      </c>
      <c r="L579" s="79"/>
      <c r="M579" s="79"/>
      <c r="N579" s="79"/>
    </row>
    <row r="580" spans="1:15" x14ac:dyDescent="0.25">
      <c r="A580" s="97">
        <v>372</v>
      </c>
      <c r="B580" s="63" t="s">
        <v>178</v>
      </c>
      <c r="C580" s="63"/>
      <c r="D580" s="63"/>
      <c r="E580" s="63"/>
      <c r="F580" s="79">
        <f t="shared" si="143"/>
        <v>3600</v>
      </c>
      <c r="G580" s="79">
        <f t="shared" si="143"/>
        <v>10000</v>
      </c>
      <c r="H580" s="79">
        <f t="shared" si="143"/>
        <v>-2000</v>
      </c>
      <c r="I580" s="79">
        <f t="shared" si="144"/>
        <v>8000</v>
      </c>
      <c r="J580" s="79"/>
      <c r="K580" s="155">
        <f t="shared" si="145"/>
        <v>8000</v>
      </c>
      <c r="L580" s="79"/>
      <c r="M580" s="79"/>
      <c r="N580" s="79"/>
    </row>
    <row r="581" spans="1:15" x14ac:dyDescent="0.25">
      <c r="A581" s="100">
        <v>3721</v>
      </c>
      <c r="B581" s="62" t="s">
        <v>319</v>
      </c>
      <c r="C581" s="62"/>
      <c r="D581" s="62"/>
      <c r="E581" s="62"/>
      <c r="F581" s="7">
        <v>3600</v>
      </c>
      <c r="G581" s="7">
        <f>12000-2000</f>
        <v>10000</v>
      </c>
      <c r="H581" s="7">
        <v>-2000</v>
      </c>
      <c r="I581" s="73">
        <f t="shared" si="144"/>
        <v>8000</v>
      </c>
      <c r="J581" s="73"/>
      <c r="K581" s="154">
        <f t="shared" si="145"/>
        <v>8000</v>
      </c>
      <c r="L581" s="73"/>
      <c r="M581" s="73"/>
      <c r="N581" s="73">
        <v>4200</v>
      </c>
      <c r="O581" s="7" t="s">
        <v>360</v>
      </c>
    </row>
    <row r="582" spans="1:15" x14ac:dyDescent="0.25">
      <c r="A582" s="98"/>
      <c r="K582" s="155"/>
    </row>
    <row r="583" spans="1:15" x14ac:dyDescent="0.25">
      <c r="A583" s="765" t="s">
        <v>320</v>
      </c>
      <c r="B583" s="766"/>
      <c r="C583" s="766"/>
      <c r="D583" s="766"/>
      <c r="E583" s="767"/>
      <c r="F583" s="116">
        <f>F584+F595</f>
        <v>10503.72</v>
      </c>
      <c r="G583" s="116">
        <f>G584+G595</f>
        <v>37500</v>
      </c>
      <c r="H583" s="116">
        <f t="shared" ref="H583:K583" si="146">H584+H595</f>
        <v>2000</v>
      </c>
      <c r="I583" s="116">
        <f t="shared" si="146"/>
        <v>39500</v>
      </c>
      <c r="J583" s="116">
        <f t="shared" si="146"/>
        <v>0</v>
      </c>
      <c r="K583" s="116">
        <f t="shared" si="146"/>
        <v>39500</v>
      </c>
      <c r="L583" s="365"/>
      <c r="M583" s="365"/>
      <c r="N583" s="365"/>
    </row>
    <row r="584" spans="1:15" x14ac:dyDescent="0.25">
      <c r="A584" s="756" t="s">
        <v>99</v>
      </c>
      <c r="B584" s="757"/>
      <c r="C584" s="757"/>
      <c r="D584" s="757"/>
      <c r="E584" s="758"/>
      <c r="F584" s="78">
        <f>F586</f>
        <v>10503.72</v>
      </c>
      <c r="G584" s="78">
        <f>G586</f>
        <v>34000</v>
      </c>
      <c r="H584" s="78">
        <f t="shared" ref="H584:K584" si="147">H586</f>
        <v>2000</v>
      </c>
      <c r="I584" s="78">
        <f t="shared" si="147"/>
        <v>36000</v>
      </c>
      <c r="J584" s="78">
        <f t="shared" si="147"/>
        <v>0</v>
      </c>
      <c r="K584" s="78">
        <f t="shared" si="147"/>
        <v>36000</v>
      </c>
      <c r="L584" s="363"/>
      <c r="M584" s="363"/>
      <c r="N584" s="363"/>
    </row>
    <row r="585" spans="1:15" x14ac:dyDescent="0.25">
      <c r="A585" s="185" t="s">
        <v>462</v>
      </c>
      <c r="B585" s="182"/>
      <c r="C585" s="182"/>
      <c r="D585" s="183"/>
      <c r="E585" s="184"/>
      <c r="F585" s="184"/>
      <c r="G585" s="184"/>
      <c r="H585" s="184"/>
      <c r="I585" s="184"/>
      <c r="J585" s="184"/>
      <c r="K585" s="155"/>
      <c r="L585" s="184"/>
      <c r="M585" s="184"/>
      <c r="N585" s="184"/>
      <c r="O585" s="192"/>
    </row>
    <row r="586" spans="1:15" ht="30.75" customHeight="1" x14ac:dyDescent="0.25">
      <c r="A586" s="768" t="s">
        <v>321</v>
      </c>
      <c r="B586" s="769"/>
      <c r="C586" s="769"/>
      <c r="D586" s="769"/>
      <c r="E586" s="770"/>
      <c r="F586" s="94">
        <f>F588</f>
        <v>10503.72</v>
      </c>
      <c r="G586" s="94">
        <f>G588</f>
        <v>34000</v>
      </c>
      <c r="H586" s="94">
        <f>H588</f>
        <v>2000</v>
      </c>
      <c r="I586" s="249">
        <f>G586+H586</f>
        <v>36000</v>
      </c>
      <c r="J586" s="249"/>
      <c r="K586" s="197">
        <f>I586+J586</f>
        <v>36000</v>
      </c>
      <c r="L586" s="249"/>
      <c r="M586" s="249"/>
      <c r="N586" s="249">
        <f>N591+N593</f>
        <v>25417.98</v>
      </c>
    </row>
    <row r="587" spans="1:15" x14ac:dyDescent="0.25">
      <c r="A587" s="98"/>
      <c r="F587" s="79"/>
      <c r="G587" s="79"/>
      <c r="H587" s="79"/>
      <c r="I587" s="79"/>
      <c r="J587" s="79"/>
      <c r="K587" s="155"/>
      <c r="L587" s="79"/>
      <c r="M587" s="79"/>
      <c r="N587" s="79"/>
    </row>
    <row r="588" spans="1:15" x14ac:dyDescent="0.25">
      <c r="A588" s="97">
        <v>3</v>
      </c>
      <c r="B588" s="63" t="s">
        <v>19</v>
      </c>
      <c r="C588" s="63"/>
      <c r="D588" s="63"/>
      <c r="E588" s="60"/>
      <c r="F588" s="79">
        <f>F589+F592</f>
        <v>10503.72</v>
      </c>
      <c r="G588" s="79">
        <f>G589+G592</f>
        <v>34000</v>
      </c>
      <c r="H588" s="79">
        <f>H589+H592</f>
        <v>2000</v>
      </c>
      <c r="I588" s="79">
        <f>G588+H588</f>
        <v>36000</v>
      </c>
      <c r="J588" s="79"/>
      <c r="K588" s="155">
        <f>I588+J588</f>
        <v>36000</v>
      </c>
      <c r="L588" s="79"/>
      <c r="M588" s="79"/>
      <c r="N588" s="79"/>
    </row>
    <row r="589" spans="1:15" x14ac:dyDescent="0.25">
      <c r="A589" s="97">
        <v>36</v>
      </c>
      <c r="B589" s="63" t="s">
        <v>257</v>
      </c>
      <c r="C589" s="63"/>
      <c r="D589" s="63"/>
      <c r="E589" s="63"/>
      <c r="F589" s="79">
        <f t="shared" ref="F589:H590" si="148">F590</f>
        <v>1503.72</v>
      </c>
      <c r="G589" s="79">
        <f t="shared" si="148"/>
        <v>14000</v>
      </c>
      <c r="H589" s="79">
        <f t="shared" si="148"/>
        <v>0</v>
      </c>
      <c r="I589" s="79">
        <f t="shared" ref="I589:I593" si="149">G589+H589</f>
        <v>14000</v>
      </c>
      <c r="J589" s="79"/>
      <c r="K589" s="155">
        <f t="shared" ref="K589:K593" si="150">I589+J589</f>
        <v>14000</v>
      </c>
      <c r="L589" s="79"/>
      <c r="M589" s="79"/>
      <c r="N589" s="79"/>
    </row>
    <row r="590" spans="1:15" x14ac:dyDescent="0.25">
      <c r="A590" s="97">
        <v>363</v>
      </c>
      <c r="B590" s="63" t="s">
        <v>257</v>
      </c>
      <c r="C590" s="63"/>
      <c r="D590" s="63"/>
      <c r="E590" s="63"/>
      <c r="F590" s="79">
        <f t="shared" si="148"/>
        <v>1503.72</v>
      </c>
      <c r="G590" s="79">
        <f t="shared" si="148"/>
        <v>14000</v>
      </c>
      <c r="H590" s="79">
        <f t="shared" si="148"/>
        <v>0</v>
      </c>
      <c r="I590" s="79">
        <f t="shared" si="149"/>
        <v>14000</v>
      </c>
      <c r="J590" s="79"/>
      <c r="K590" s="155">
        <f t="shared" si="150"/>
        <v>14000</v>
      </c>
      <c r="L590" s="79"/>
      <c r="M590" s="79"/>
      <c r="N590" s="79"/>
    </row>
    <row r="591" spans="1:15" x14ac:dyDescent="0.25">
      <c r="A591" s="98">
        <v>3631</v>
      </c>
      <c r="B591" t="s">
        <v>322</v>
      </c>
      <c r="F591" s="73">
        <v>1503.72</v>
      </c>
      <c r="G591" s="73">
        <v>14000</v>
      </c>
      <c r="H591" s="73"/>
      <c r="I591" s="73">
        <f t="shared" si="149"/>
        <v>14000</v>
      </c>
      <c r="J591" s="73"/>
      <c r="K591" s="154">
        <f t="shared" si="150"/>
        <v>14000</v>
      </c>
      <c r="L591" s="73"/>
      <c r="M591" s="73"/>
      <c r="N591" s="73">
        <v>3417.98</v>
      </c>
    </row>
    <row r="592" spans="1:15" x14ac:dyDescent="0.25">
      <c r="A592" s="97">
        <v>38</v>
      </c>
      <c r="B592" s="63" t="s">
        <v>180</v>
      </c>
      <c r="C592" s="63"/>
      <c r="D592" s="63"/>
      <c r="E592" s="63"/>
      <c r="F592" s="79">
        <f>F593</f>
        <v>9000</v>
      </c>
      <c r="G592" s="79">
        <f>G593</f>
        <v>20000</v>
      </c>
      <c r="H592" s="79">
        <f>H593</f>
        <v>2000</v>
      </c>
      <c r="I592" s="79">
        <f t="shared" si="149"/>
        <v>22000</v>
      </c>
      <c r="J592" s="79"/>
      <c r="K592" s="155">
        <f t="shared" si="150"/>
        <v>22000</v>
      </c>
      <c r="L592" s="79"/>
      <c r="M592" s="79"/>
      <c r="N592" s="79"/>
    </row>
    <row r="593" spans="1:17" x14ac:dyDescent="0.25">
      <c r="A593" s="97">
        <v>381</v>
      </c>
      <c r="B593" s="63" t="s">
        <v>323</v>
      </c>
      <c r="C593" s="63"/>
      <c r="D593" s="63"/>
      <c r="E593" s="63"/>
      <c r="F593" s="73">
        <v>9000</v>
      </c>
      <c r="G593" s="73">
        <v>20000</v>
      </c>
      <c r="H593" s="73">
        <v>2000</v>
      </c>
      <c r="I593" s="73">
        <f t="shared" si="149"/>
        <v>22000</v>
      </c>
      <c r="J593" s="73"/>
      <c r="K593" s="154">
        <f t="shared" si="150"/>
        <v>22000</v>
      </c>
      <c r="L593" s="73"/>
      <c r="M593" s="73"/>
      <c r="N593" s="73">
        <v>22000</v>
      </c>
      <c r="O593" s="7" t="s">
        <v>497</v>
      </c>
      <c r="Q593" s="7" t="s">
        <v>583</v>
      </c>
    </row>
    <row r="594" spans="1:17" x14ac:dyDescent="0.25">
      <c r="A594" s="100"/>
      <c r="F594" s="79"/>
      <c r="G594" s="79"/>
      <c r="H594" s="79"/>
      <c r="I594" s="79"/>
      <c r="J594" s="79"/>
      <c r="K594" s="155"/>
      <c r="L594" s="79"/>
      <c r="M594" s="79"/>
      <c r="N594" s="79"/>
    </row>
    <row r="595" spans="1:17" x14ac:dyDescent="0.25">
      <c r="A595" s="77" t="s">
        <v>100</v>
      </c>
      <c r="B595" s="77"/>
      <c r="C595" s="77"/>
      <c r="D595" s="133"/>
      <c r="E595" s="134"/>
      <c r="F595" s="78">
        <f>F597</f>
        <v>0</v>
      </c>
      <c r="G595" s="78">
        <f>G597</f>
        <v>3500</v>
      </c>
      <c r="H595" s="78">
        <f t="shared" ref="H595:K595" si="151">H597</f>
        <v>0</v>
      </c>
      <c r="I595" s="78">
        <f t="shared" si="151"/>
        <v>3500</v>
      </c>
      <c r="J595" s="78">
        <f t="shared" si="151"/>
        <v>0</v>
      </c>
      <c r="K595" s="78">
        <f t="shared" si="151"/>
        <v>3500</v>
      </c>
      <c r="L595" s="363"/>
      <c r="M595" s="363"/>
      <c r="N595" s="363"/>
    </row>
    <row r="596" spans="1:17" x14ac:dyDescent="0.25">
      <c r="A596" s="185" t="s">
        <v>463</v>
      </c>
      <c r="B596" s="182"/>
      <c r="C596" s="182"/>
      <c r="D596" s="183"/>
      <c r="E596" s="184"/>
      <c r="F596" s="184"/>
      <c r="G596" s="184"/>
      <c r="H596" s="184"/>
      <c r="I596" s="184"/>
      <c r="J596" s="184"/>
      <c r="K596" s="155"/>
      <c r="L596" s="184"/>
      <c r="M596" s="184"/>
      <c r="N596" s="184"/>
      <c r="O596" s="192"/>
    </row>
    <row r="597" spans="1:17" x14ac:dyDescent="0.25">
      <c r="A597" s="774" t="s">
        <v>570</v>
      </c>
      <c r="B597" s="775"/>
      <c r="C597" s="775"/>
      <c r="D597" s="775"/>
      <c r="E597" s="776"/>
      <c r="F597" s="202">
        <f>F599</f>
        <v>0</v>
      </c>
      <c r="G597" s="202">
        <f>G599</f>
        <v>3500</v>
      </c>
      <c r="H597" s="202">
        <f>H599</f>
        <v>0</v>
      </c>
      <c r="I597" s="202">
        <f>G597+H597</f>
        <v>3500</v>
      </c>
      <c r="J597" s="202"/>
      <c r="K597" s="197">
        <f>I597+J597</f>
        <v>3500</v>
      </c>
      <c r="L597" s="202"/>
      <c r="M597" s="202"/>
      <c r="N597" s="202">
        <f>N603</f>
        <v>2000</v>
      </c>
      <c r="O597" s="201"/>
    </row>
    <row r="598" spans="1:17" x14ac:dyDescent="0.25">
      <c r="A598" s="95"/>
      <c r="B598" s="60"/>
      <c r="C598" s="60"/>
      <c r="D598" s="60"/>
      <c r="E598" s="60"/>
      <c r="K598" s="155"/>
    </row>
    <row r="599" spans="1:17" x14ac:dyDescent="0.25">
      <c r="A599" s="97">
        <v>3</v>
      </c>
      <c r="B599" s="63" t="s">
        <v>19</v>
      </c>
      <c r="C599" s="63"/>
      <c r="D599" s="63"/>
      <c r="E599" s="63"/>
      <c r="F599" s="79">
        <f t="shared" ref="F599:H600" si="152">F600</f>
        <v>0</v>
      </c>
      <c r="G599" s="79">
        <f t="shared" si="152"/>
        <v>3500</v>
      </c>
      <c r="H599" s="79">
        <f t="shared" si="152"/>
        <v>0</v>
      </c>
      <c r="I599" s="79">
        <f>G599+H599</f>
        <v>3500</v>
      </c>
      <c r="J599" s="79"/>
      <c r="K599" s="155">
        <f>I599+J599</f>
        <v>3500</v>
      </c>
      <c r="L599" s="79"/>
      <c r="M599" s="79"/>
      <c r="N599" s="79"/>
    </row>
    <row r="600" spans="1:17" x14ac:dyDescent="0.25">
      <c r="A600" s="97">
        <v>38</v>
      </c>
      <c r="B600" s="63" t="s">
        <v>180</v>
      </c>
      <c r="C600" s="63"/>
      <c r="D600" s="63"/>
      <c r="E600" s="63"/>
      <c r="F600" s="79">
        <f t="shared" si="152"/>
        <v>0</v>
      </c>
      <c r="G600" s="79">
        <f t="shared" si="152"/>
        <v>3500</v>
      </c>
      <c r="H600" s="79">
        <f t="shared" si="152"/>
        <v>0</v>
      </c>
      <c r="I600" s="79">
        <f t="shared" ref="I600:I603" si="153">G600+H600</f>
        <v>3500</v>
      </c>
      <c r="J600" s="79"/>
      <c r="K600" s="155">
        <f t="shared" ref="K600:K603" si="154">I600+J600</f>
        <v>3500</v>
      </c>
      <c r="L600" s="79"/>
      <c r="M600" s="79"/>
      <c r="N600" s="79"/>
    </row>
    <row r="601" spans="1:17" x14ac:dyDescent="0.25">
      <c r="A601" s="97">
        <v>381</v>
      </c>
      <c r="B601" s="63" t="s">
        <v>181</v>
      </c>
      <c r="C601" s="63"/>
      <c r="D601" s="63"/>
      <c r="E601" s="63"/>
      <c r="F601" s="79">
        <f>F602+F603</f>
        <v>0</v>
      </c>
      <c r="G601" s="79">
        <f>G602+G603</f>
        <v>3500</v>
      </c>
      <c r="H601" s="79">
        <f>H602+H603</f>
        <v>0</v>
      </c>
      <c r="I601" s="79">
        <f t="shared" si="153"/>
        <v>3500</v>
      </c>
      <c r="J601" s="79"/>
      <c r="K601" s="155">
        <f t="shared" si="154"/>
        <v>3500</v>
      </c>
      <c r="L601" s="79"/>
      <c r="M601" s="79"/>
      <c r="N601" s="79"/>
    </row>
    <row r="602" spans="1:17" x14ac:dyDescent="0.25">
      <c r="A602" s="98">
        <v>3811</v>
      </c>
      <c r="B602" s="57" t="s">
        <v>485</v>
      </c>
      <c r="C602" s="57"/>
      <c r="D602" s="58"/>
      <c r="E602" s="57"/>
      <c r="G602" s="7">
        <v>1500</v>
      </c>
      <c r="I602" s="73">
        <f t="shared" si="153"/>
        <v>1500</v>
      </c>
      <c r="J602" s="73"/>
      <c r="K602" s="154">
        <f t="shared" si="154"/>
        <v>1500</v>
      </c>
      <c r="L602" s="73">
        <v>-1500</v>
      </c>
      <c r="M602" s="73"/>
      <c r="N602" s="73"/>
      <c r="O602" s="7" t="s">
        <v>496</v>
      </c>
    </row>
    <row r="603" spans="1:17" x14ac:dyDescent="0.25">
      <c r="A603" s="98">
        <v>3811</v>
      </c>
      <c r="B603" s="62" t="s">
        <v>325</v>
      </c>
      <c r="G603" s="7">
        <v>2000</v>
      </c>
      <c r="I603" s="73">
        <f t="shared" si="153"/>
        <v>2000</v>
      </c>
      <c r="J603" s="73"/>
      <c r="K603" s="154">
        <f t="shared" si="154"/>
        <v>2000</v>
      </c>
      <c r="L603" s="73"/>
      <c r="M603" s="73"/>
      <c r="N603" s="73">
        <v>2000</v>
      </c>
      <c r="O603" s="7">
        <v>1858.12</v>
      </c>
    </row>
    <row r="604" spans="1:17" x14ac:dyDescent="0.25">
      <c r="A604" s="98"/>
      <c r="B604" s="62"/>
      <c r="K604" s="155"/>
    </row>
    <row r="605" spans="1:17" x14ac:dyDescent="0.25">
      <c r="A605" s="90" t="s">
        <v>101</v>
      </c>
      <c r="B605" s="90"/>
      <c r="C605" s="90"/>
      <c r="D605" s="90"/>
      <c r="E605" s="90"/>
      <c r="F605" s="91">
        <f>F606+F615+F624</f>
        <v>30800</v>
      </c>
      <c r="G605" s="91">
        <f>G606+G615+G624</f>
        <v>94000</v>
      </c>
      <c r="H605" s="91">
        <f t="shared" ref="H605:K605" si="155">H606+H615+H624</f>
        <v>-33200</v>
      </c>
      <c r="I605" s="91">
        <f t="shared" si="155"/>
        <v>60800</v>
      </c>
      <c r="J605" s="91">
        <f t="shared" si="155"/>
        <v>0</v>
      </c>
      <c r="K605" s="91">
        <f t="shared" si="155"/>
        <v>60800</v>
      </c>
      <c r="L605" s="362"/>
      <c r="M605" s="362"/>
      <c r="N605" s="362"/>
    </row>
    <row r="606" spans="1:17" x14ac:dyDescent="0.25">
      <c r="A606" s="77" t="s">
        <v>102</v>
      </c>
      <c r="B606" s="77"/>
      <c r="C606" s="77"/>
      <c r="D606" s="77"/>
      <c r="E606" s="77"/>
      <c r="F606" s="78">
        <f>F608</f>
        <v>25000</v>
      </c>
      <c r="G606" s="78">
        <f>G608</f>
        <v>55000</v>
      </c>
      <c r="H606" s="78">
        <f t="shared" ref="H606:K606" si="156">H608</f>
        <v>0</v>
      </c>
      <c r="I606" s="78">
        <f t="shared" si="156"/>
        <v>55000</v>
      </c>
      <c r="J606" s="78">
        <f t="shared" si="156"/>
        <v>0</v>
      </c>
      <c r="K606" s="78">
        <f t="shared" si="156"/>
        <v>55000</v>
      </c>
      <c r="L606" s="363"/>
      <c r="M606" s="363"/>
      <c r="N606" s="363"/>
    </row>
    <row r="607" spans="1:17" x14ac:dyDescent="0.25">
      <c r="A607" s="185" t="s">
        <v>464</v>
      </c>
      <c r="B607" s="182"/>
      <c r="C607" s="182"/>
      <c r="D607" s="183"/>
      <c r="E607" s="184"/>
      <c r="F607" s="184"/>
      <c r="G607" s="184"/>
      <c r="H607" s="184"/>
      <c r="I607" s="184"/>
      <c r="J607" s="184"/>
      <c r="K607" s="155"/>
      <c r="L607" s="184"/>
      <c r="M607" s="184"/>
      <c r="N607" s="184"/>
      <c r="O607" s="192"/>
    </row>
    <row r="608" spans="1:17" x14ac:dyDescent="0.25">
      <c r="A608" s="715" t="s">
        <v>326</v>
      </c>
      <c r="B608" s="716"/>
      <c r="C608" s="716"/>
      <c r="D608" s="716"/>
      <c r="E608" s="717"/>
      <c r="F608" s="94">
        <f>F610</f>
        <v>25000</v>
      </c>
      <c r="G608" s="94">
        <f>G610</f>
        <v>55000</v>
      </c>
      <c r="H608" s="94">
        <f>H610</f>
        <v>0</v>
      </c>
      <c r="I608" s="249">
        <f>G608+H608</f>
        <v>55000</v>
      </c>
      <c r="J608" s="249"/>
      <c r="K608" s="197">
        <f>I608+J608</f>
        <v>55000</v>
      </c>
      <c r="L608" s="249"/>
      <c r="M608" s="249"/>
      <c r="N608" s="249">
        <f>N613</f>
        <v>55000</v>
      </c>
    </row>
    <row r="609" spans="1:16" x14ac:dyDescent="0.25">
      <c r="A609" s="98"/>
      <c r="B609" s="62"/>
      <c r="K609" s="155"/>
    </row>
    <row r="610" spans="1:16" x14ac:dyDescent="0.25">
      <c r="A610" s="97">
        <v>3</v>
      </c>
      <c r="B610" s="63" t="s">
        <v>19</v>
      </c>
      <c r="C610" s="63"/>
      <c r="D610" s="63"/>
      <c r="E610" s="63"/>
      <c r="F610" s="79">
        <f t="shared" ref="F610:H612" si="157">F611</f>
        <v>25000</v>
      </c>
      <c r="G610" s="79">
        <f t="shared" si="157"/>
        <v>55000</v>
      </c>
      <c r="H610" s="79">
        <f t="shared" si="157"/>
        <v>0</v>
      </c>
      <c r="I610" s="79">
        <f>G610+H610</f>
        <v>55000</v>
      </c>
      <c r="J610" s="79"/>
      <c r="K610" s="155">
        <f>I610+J610</f>
        <v>55000</v>
      </c>
      <c r="L610" s="79"/>
      <c r="M610" s="79"/>
      <c r="N610" s="79"/>
    </row>
    <row r="611" spans="1:16" x14ac:dyDescent="0.25">
      <c r="A611" s="97">
        <v>38</v>
      </c>
      <c r="B611" s="63" t="s">
        <v>180</v>
      </c>
      <c r="C611" s="63"/>
      <c r="D611" s="63"/>
      <c r="E611" s="63"/>
      <c r="F611" s="79">
        <f t="shared" si="157"/>
        <v>25000</v>
      </c>
      <c r="G611" s="79">
        <f t="shared" si="157"/>
        <v>55000</v>
      </c>
      <c r="H611" s="79">
        <f t="shared" si="157"/>
        <v>0</v>
      </c>
      <c r="I611" s="79">
        <f t="shared" ref="I611:I613" si="158">G611+H611</f>
        <v>55000</v>
      </c>
      <c r="J611" s="79"/>
      <c r="K611" s="155">
        <f t="shared" ref="K611:K613" si="159">I611+J611</f>
        <v>55000</v>
      </c>
      <c r="L611" s="79"/>
      <c r="M611" s="79"/>
      <c r="N611" s="79"/>
    </row>
    <row r="612" spans="1:16" x14ac:dyDescent="0.25">
      <c r="A612" s="97">
        <v>381</v>
      </c>
      <c r="B612" s="63" t="s">
        <v>181</v>
      </c>
      <c r="C612" s="63"/>
      <c r="D612" s="63"/>
      <c r="E612" s="63"/>
      <c r="F612" s="79">
        <f t="shared" si="157"/>
        <v>25000</v>
      </c>
      <c r="G612" s="79">
        <f t="shared" si="157"/>
        <v>55000</v>
      </c>
      <c r="H612" s="79">
        <f t="shared" si="157"/>
        <v>0</v>
      </c>
      <c r="I612" s="79">
        <f t="shared" si="158"/>
        <v>55000</v>
      </c>
      <c r="J612" s="79"/>
      <c r="K612" s="155">
        <f t="shared" si="159"/>
        <v>55000</v>
      </c>
      <c r="L612" s="79"/>
      <c r="M612" s="79"/>
      <c r="N612" s="79"/>
    </row>
    <row r="613" spans="1:16" x14ac:dyDescent="0.25">
      <c r="A613" s="100">
        <v>3811</v>
      </c>
      <c r="B613" s="62" t="s">
        <v>327</v>
      </c>
      <c r="C613" s="62"/>
      <c r="D613" s="62"/>
      <c r="E613" s="62"/>
      <c r="F613" s="7">
        <v>25000</v>
      </c>
      <c r="G613" s="7">
        <v>55000</v>
      </c>
      <c r="I613" s="73">
        <f t="shared" si="158"/>
        <v>55000</v>
      </c>
      <c r="J613" s="73"/>
      <c r="K613" s="154">
        <f t="shared" si="159"/>
        <v>55000</v>
      </c>
      <c r="L613" s="73"/>
      <c r="M613" s="73"/>
      <c r="N613" s="73">
        <f>55000</f>
        <v>55000</v>
      </c>
      <c r="O613" s="7" t="s">
        <v>584</v>
      </c>
      <c r="P613" s="7" t="s">
        <v>585</v>
      </c>
    </row>
    <row r="614" spans="1:16" x14ac:dyDescent="0.25">
      <c r="A614" s="98"/>
      <c r="K614" s="155"/>
    </row>
    <row r="615" spans="1:16" x14ac:dyDescent="0.25">
      <c r="A615" s="77" t="s">
        <v>104</v>
      </c>
      <c r="B615" s="77"/>
      <c r="C615" s="77"/>
      <c r="D615" s="77"/>
      <c r="E615" s="77"/>
      <c r="F615" s="78">
        <f>F617</f>
        <v>4000</v>
      </c>
      <c r="G615" s="78">
        <f>G617</f>
        <v>4000</v>
      </c>
      <c r="H615" s="78">
        <f t="shared" ref="H615:K615" si="160">H617</f>
        <v>0</v>
      </c>
      <c r="I615" s="78">
        <f t="shared" si="160"/>
        <v>4000</v>
      </c>
      <c r="J615" s="78">
        <f t="shared" si="160"/>
        <v>0</v>
      </c>
      <c r="K615" s="78">
        <f t="shared" si="160"/>
        <v>4000</v>
      </c>
      <c r="L615" s="363"/>
      <c r="M615" s="363"/>
      <c r="N615" s="363"/>
    </row>
    <row r="616" spans="1:16" x14ac:dyDescent="0.25">
      <c r="A616" s="185" t="s">
        <v>465</v>
      </c>
      <c r="B616" s="182"/>
      <c r="C616" s="182"/>
      <c r="D616" s="183"/>
      <c r="E616" s="184"/>
      <c r="F616" s="184"/>
      <c r="G616" s="184"/>
      <c r="H616" s="184"/>
      <c r="I616" s="184"/>
      <c r="J616" s="184"/>
      <c r="K616" s="155"/>
      <c r="L616" s="184"/>
      <c r="M616" s="184"/>
      <c r="N616" s="184"/>
      <c r="O616" s="192"/>
    </row>
    <row r="617" spans="1:16" x14ac:dyDescent="0.25">
      <c r="A617" s="762" t="s">
        <v>401</v>
      </c>
      <c r="B617" s="763"/>
      <c r="C617" s="763"/>
      <c r="D617" s="763"/>
      <c r="E617" s="764"/>
      <c r="F617" s="94">
        <f>F619</f>
        <v>4000</v>
      </c>
      <c r="G617" s="94">
        <f>G619</f>
        <v>4000</v>
      </c>
      <c r="H617" s="94">
        <f>H619</f>
        <v>0</v>
      </c>
      <c r="I617" s="249">
        <f>G617+H617</f>
        <v>4000</v>
      </c>
      <c r="J617" s="249"/>
      <c r="K617" s="197">
        <f>I617+J617</f>
        <v>4000</v>
      </c>
      <c r="L617" s="249"/>
      <c r="M617" s="249"/>
      <c r="N617" s="249">
        <f>N622</f>
        <v>4000</v>
      </c>
    </row>
    <row r="618" spans="1:16" x14ac:dyDescent="0.25">
      <c r="A618" s="98"/>
      <c r="B618" s="62"/>
      <c r="K618" s="155"/>
    </row>
    <row r="619" spans="1:16" x14ac:dyDescent="0.25">
      <c r="A619" s="97">
        <v>3</v>
      </c>
      <c r="B619" s="63" t="s">
        <v>19</v>
      </c>
      <c r="C619" s="63"/>
      <c r="D619" s="63"/>
      <c r="E619" s="63"/>
      <c r="F619" s="79">
        <f t="shared" ref="F619:H621" si="161">F620</f>
        <v>4000</v>
      </c>
      <c r="G619" s="79">
        <f t="shared" si="161"/>
        <v>4000</v>
      </c>
      <c r="H619" s="79">
        <f t="shared" si="161"/>
        <v>0</v>
      </c>
      <c r="I619" s="79">
        <f>G619+H619</f>
        <v>4000</v>
      </c>
      <c r="J619" s="79"/>
      <c r="K619" s="155">
        <f>I619+J619</f>
        <v>4000</v>
      </c>
      <c r="L619" s="79"/>
      <c r="M619" s="79"/>
      <c r="N619" s="79"/>
    </row>
    <row r="620" spans="1:16" x14ac:dyDescent="0.25">
      <c r="A620" s="97">
        <v>38</v>
      </c>
      <c r="B620" s="63" t="s">
        <v>180</v>
      </c>
      <c r="C620" s="63"/>
      <c r="D620" s="63"/>
      <c r="E620" s="63"/>
      <c r="F620" s="79">
        <f t="shared" si="161"/>
        <v>4000</v>
      </c>
      <c r="G620" s="79">
        <f t="shared" si="161"/>
        <v>4000</v>
      </c>
      <c r="H620" s="79">
        <f t="shared" si="161"/>
        <v>0</v>
      </c>
      <c r="I620" s="79">
        <f t="shared" ref="I620:I622" si="162">G620+H620</f>
        <v>4000</v>
      </c>
      <c r="J620" s="79"/>
      <c r="K620" s="155">
        <f t="shared" ref="K620:K622" si="163">I620+J620</f>
        <v>4000</v>
      </c>
      <c r="L620" s="79"/>
      <c r="M620" s="79"/>
      <c r="N620" s="79"/>
    </row>
    <row r="621" spans="1:16" x14ac:dyDescent="0.25">
      <c r="A621" s="97">
        <v>381</v>
      </c>
      <c r="B621" s="63" t="s">
        <v>403</v>
      </c>
      <c r="C621" s="63"/>
      <c r="D621" s="63"/>
      <c r="E621" s="63"/>
      <c r="F621" s="79">
        <f t="shared" si="161"/>
        <v>4000</v>
      </c>
      <c r="G621" s="79">
        <f t="shared" si="161"/>
        <v>4000</v>
      </c>
      <c r="H621" s="79">
        <f t="shared" si="161"/>
        <v>0</v>
      </c>
      <c r="I621" s="79">
        <f t="shared" si="162"/>
        <v>4000</v>
      </c>
      <c r="J621" s="79"/>
      <c r="K621" s="155">
        <f t="shared" si="163"/>
        <v>4000</v>
      </c>
      <c r="L621" s="79"/>
      <c r="M621" s="79"/>
      <c r="N621" s="79"/>
      <c r="O621" s="7" t="s">
        <v>586</v>
      </c>
      <c r="P621" s="7" t="s">
        <v>587</v>
      </c>
    </row>
    <row r="622" spans="1:16" x14ac:dyDescent="0.25">
      <c r="A622" s="100">
        <v>3811</v>
      </c>
      <c r="B622" s="62" t="s">
        <v>402</v>
      </c>
      <c r="C622" s="62"/>
      <c r="D622" s="62"/>
      <c r="E622" s="62"/>
      <c r="F622" s="73">
        <v>4000</v>
      </c>
      <c r="G622" s="73">
        <v>4000</v>
      </c>
      <c r="H622" s="73"/>
      <c r="I622" s="73">
        <f t="shared" si="162"/>
        <v>4000</v>
      </c>
      <c r="J622" s="73"/>
      <c r="K622" s="154">
        <f t="shared" si="163"/>
        <v>4000</v>
      </c>
      <c r="L622" s="73"/>
      <c r="M622" s="73"/>
      <c r="N622" s="73">
        <v>4000</v>
      </c>
    </row>
    <row r="623" spans="1:16" x14ac:dyDescent="0.25">
      <c r="A623" s="97"/>
      <c r="B623" s="63"/>
      <c r="F623" s="79"/>
      <c r="G623" s="79"/>
      <c r="H623" s="79"/>
      <c r="I623" s="79"/>
      <c r="J623" s="79"/>
      <c r="K623" s="155"/>
      <c r="L623" s="79"/>
      <c r="M623" s="79"/>
      <c r="N623" s="79"/>
    </row>
    <row r="624" spans="1:16" x14ac:dyDescent="0.25">
      <c r="A624" s="77" t="s">
        <v>414</v>
      </c>
      <c r="B624" s="77"/>
      <c r="C624" s="77"/>
      <c r="D624" s="77"/>
      <c r="E624" s="77"/>
      <c r="F624" s="78">
        <f>F626</f>
        <v>1800</v>
      </c>
      <c r="G624" s="78">
        <f>G626</f>
        <v>35000</v>
      </c>
      <c r="H624" s="78">
        <f t="shared" ref="H624:K624" si="164">H626</f>
        <v>-33200</v>
      </c>
      <c r="I624" s="78">
        <f t="shared" si="164"/>
        <v>1800</v>
      </c>
      <c r="J624" s="78">
        <f t="shared" si="164"/>
        <v>0</v>
      </c>
      <c r="K624" s="78">
        <f t="shared" si="164"/>
        <v>1800</v>
      </c>
      <c r="L624" s="363"/>
      <c r="M624" s="363"/>
      <c r="N624" s="363"/>
    </row>
    <row r="625" spans="1:25" x14ac:dyDescent="0.25">
      <c r="A625" s="185" t="s">
        <v>466</v>
      </c>
      <c r="B625" s="182"/>
      <c r="C625" s="182"/>
      <c r="D625" s="183"/>
      <c r="E625" s="184"/>
      <c r="F625" s="184"/>
      <c r="G625" s="184"/>
      <c r="H625" s="184"/>
      <c r="I625" s="184"/>
      <c r="J625" s="184"/>
      <c r="K625" s="155"/>
      <c r="L625" s="184"/>
      <c r="M625" s="184"/>
      <c r="N625" s="184"/>
      <c r="O625" s="192"/>
    </row>
    <row r="626" spans="1:25" x14ac:dyDescent="0.25">
      <c r="A626" s="102" t="s">
        <v>328</v>
      </c>
      <c r="B626" s="112"/>
      <c r="C626" s="112"/>
      <c r="D626" s="112"/>
      <c r="E626" s="112"/>
      <c r="F626" s="94">
        <f>F628</f>
        <v>1800</v>
      </c>
      <c r="G626" s="94">
        <f>G628</f>
        <v>35000</v>
      </c>
      <c r="H626" s="94">
        <f>H628</f>
        <v>-33200</v>
      </c>
      <c r="I626" s="249">
        <f>G626+H626</f>
        <v>1800</v>
      </c>
      <c r="J626" s="249"/>
      <c r="K626" s="197">
        <f>I626+J626</f>
        <v>1800</v>
      </c>
      <c r="L626" s="249"/>
      <c r="M626" s="249"/>
      <c r="N626" s="249">
        <f>N631</f>
        <v>1800</v>
      </c>
      <c r="W626" s="145"/>
    </row>
    <row r="627" spans="1:25" x14ac:dyDescent="0.25">
      <c r="A627" s="98"/>
      <c r="B627" s="62"/>
      <c r="F627" s="79"/>
      <c r="G627" s="79"/>
      <c r="H627" s="79"/>
      <c r="I627" s="79"/>
      <c r="J627" s="79"/>
      <c r="K627" s="155"/>
      <c r="L627" s="79"/>
      <c r="M627" s="79"/>
      <c r="N627" s="79"/>
    </row>
    <row r="628" spans="1:25" x14ac:dyDescent="0.25">
      <c r="A628" s="97">
        <v>3</v>
      </c>
      <c r="B628" s="63" t="s">
        <v>19</v>
      </c>
      <c r="C628" s="63"/>
      <c r="D628" s="63"/>
      <c r="E628" s="63"/>
      <c r="F628" s="79">
        <f t="shared" ref="F628:H630" si="165">F629</f>
        <v>1800</v>
      </c>
      <c r="G628" s="79">
        <f t="shared" si="165"/>
        <v>35000</v>
      </c>
      <c r="H628" s="79">
        <f t="shared" si="165"/>
        <v>-33200</v>
      </c>
      <c r="I628" s="79">
        <f>G628+H628</f>
        <v>1800</v>
      </c>
      <c r="J628" s="79"/>
      <c r="K628" s="155">
        <f>I628+J628</f>
        <v>1800</v>
      </c>
      <c r="L628" s="79"/>
      <c r="M628" s="79"/>
      <c r="N628" s="79"/>
      <c r="X628" s="145"/>
      <c r="Y628" s="145"/>
    </row>
    <row r="629" spans="1:25" x14ac:dyDescent="0.25">
      <c r="A629" s="97">
        <v>38</v>
      </c>
      <c r="B629" s="63" t="s">
        <v>180</v>
      </c>
      <c r="C629" s="63"/>
      <c r="D629" s="63"/>
      <c r="E629" s="63"/>
      <c r="F629" s="79">
        <f t="shared" si="165"/>
        <v>1800</v>
      </c>
      <c r="G629" s="79">
        <f t="shared" si="165"/>
        <v>35000</v>
      </c>
      <c r="H629" s="79">
        <f t="shared" si="165"/>
        <v>-33200</v>
      </c>
      <c r="I629" s="79">
        <f t="shared" ref="I629:I631" si="166">G629+H629</f>
        <v>1800</v>
      </c>
      <c r="J629" s="79"/>
      <c r="K629" s="155">
        <f t="shared" ref="K629:K631" si="167">I629+J629</f>
        <v>1800</v>
      </c>
      <c r="L629" s="79"/>
      <c r="M629" s="79"/>
      <c r="N629" s="79"/>
      <c r="T629" s="190"/>
      <c r="U629" s="190"/>
      <c r="V629" s="145"/>
    </row>
    <row r="630" spans="1:25" x14ac:dyDescent="0.25">
      <c r="A630" s="97">
        <v>381</v>
      </c>
      <c r="B630" s="63" t="s">
        <v>329</v>
      </c>
      <c r="C630" s="63"/>
      <c r="D630" s="63"/>
      <c r="E630" s="63"/>
      <c r="F630" s="79">
        <f t="shared" si="165"/>
        <v>1800</v>
      </c>
      <c r="G630" s="79">
        <f t="shared" si="165"/>
        <v>35000</v>
      </c>
      <c r="H630" s="79">
        <f t="shared" si="165"/>
        <v>-33200</v>
      </c>
      <c r="I630" s="79">
        <f t="shared" si="166"/>
        <v>1800</v>
      </c>
      <c r="J630" s="79"/>
      <c r="K630" s="155">
        <f t="shared" si="167"/>
        <v>1800</v>
      </c>
      <c r="L630" s="79"/>
      <c r="M630" s="79"/>
      <c r="N630" s="79"/>
    </row>
    <row r="631" spans="1:25" ht="14.25" customHeight="1" x14ac:dyDescent="0.25">
      <c r="A631" s="100">
        <v>3811</v>
      </c>
      <c r="B631" s="62" t="s">
        <v>402</v>
      </c>
      <c r="C631" s="63"/>
      <c r="D631" s="63"/>
      <c r="E631" s="63"/>
      <c r="F631" s="73">
        <v>1800</v>
      </c>
      <c r="G631" s="73">
        <v>35000</v>
      </c>
      <c r="H631" s="73">
        <f>-32000-1200</f>
        <v>-33200</v>
      </c>
      <c r="I631" s="73">
        <f t="shared" si="166"/>
        <v>1800</v>
      </c>
      <c r="J631" s="73"/>
      <c r="K631" s="154">
        <f t="shared" si="167"/>
        <v>1800</v>
      </c>
      <c r="L631" s="73"/>
      <c r="M631" s="73"/>
      <c r="N631" s="73">
        <v>1800</v>
      </c>
    </row>
    <row r="632" spans="1:25" ht="13.5" customHeight="1" x14ac:dyDescent="0.25">
      <c r="A632" s="98"/>
      <c r="B632" s="62"/>
      <c r="F632" s="73"/>
      <c r="G632" s="73"/>
      <c r="H632" s="73"/>
      <c r="I632" s="73"/>
      <c r="J632" s="73"/>
      <c r="K632" s="155"/>
      <c r="L632" s="73"/>
      <c r="M632" s="73"/>
      <c r="N632" s="73"/>
    </row>
    <row r="633" spans="1:25" x14ac:dyDescent="0.25">
      <c r="A633" s="90" t="s">
        <v>106</v>
      </c>
      <c r="B633" s="90"/>
      <c r="C633" s="90"/>
      <c r="D633" s="90"/>
      <c r="E633" s="90"/>
      <c r="F633" s="91">
        <f>F634+F677+F687</f>
        <v>15215.409999999998</v>
      </c>
      <c r="G633" s="91">
        <f>G634+G677+G687</f>
        <v>164772</v>
      </c>
      <c r="H633" s="91">
        <f t="shared" ref="H633" si="168">H634+H677+H687</f>
        <v>-8062</v>
      </c>
      <c r="I633" s="91">
        <f>I634+I677+I687</f>
        <v>156710</v>
      </c>
      <c r="J633" s="91">
        <f t="shared" ref="J633:K633" si="169">J634+J677+J687</f>
        <v>-1000</v>
      </c>
      <c r="K633" s="91">
        <f t="shared" si="169"/>
        <v>155710</v>
      </c>
      <c r="L633" s="362"/>
      <c r="M633" s="362"/>
      <c r="N633" s="362"/>
    </row>
    <row r="634" spans="1:25" x14ac:dyDescent="0.25">
      <c r="A634" s="77" t="s">
        <v>105</v>
      </c>
      <c r="B634" s="77"/>
      <c r="C634" s="77"/>
      <c r="D634" s="77"/>
      <c r="E634" s="77"/>
      <c r="F634" s="78">
        <f>F636+F654+F662</f>
        <v>14715.429999999998</v>
      </c>
      <c r="G634" s="78">
        <f>G636+G654+G662</f>
        <v>143060</v>
      </c>
      <c r="H634" s="78">
        <f t="shared" ref="H634" si="170">H636+H654+H662</f>
        <v>5550</v>
      </c>
      <c r="I634" s="78">
        <f>I636+I654+I662</f>
        <v>148610</v>
      </c>
      <c r="J634" s="78">
        <f t="shared" ref="J634:K634" si="171">J636+J654+J662</f>
        <v>1000</v>
      </c>
      <c r="K634" s="78">
        <f t="shared" si="171"/>
        <v>149610</v>
      </c>
      <c r="L634" s="363"/>
      <c r="M634" s="363"/>
      <c r="N634" s="363"/>
    </row>
    <row r="635" spans="1:25" x14ac:dyDescent="0.25">
      <c r="A635" s="185" t="s">
        <v>467</v>
      </c>
      <c r="B635" s="182"/>
      <c r="C635" s="182"/>
      <c r="D635" s="183"/>
      <c r="E635" s="184"/>
      <c r="F635" s="184"/>
      <c r="G635" s="184"/>
      <c r="H635" s="184"/>
      <c r="I635" s="184"/>
      <c r="J635" s="184"/>
      <c r="K635" s="155"/>
      <c r="L635" s="184"/>
      <c r="M635" s="184"/>
      <c r="N635" s="184"/>
      <c r="O635" s="192"/>
    </row>
    <row r="636" spans="1:25" x14ac:dyDescent="0.25">
      <c r="A636" s="102" t="s">
        <v>107</v>
      </c>
      <c r="B636" s="112"/>
      <c r="C636" s="112"/>
      <c r="D636" s="112"/>
      <c r="E636" s="112"/>
      <c r="F636" s="94">
        <f>F638</f>
        <v>14540.71</v>
      </c>
      <c r="G636" s="94">
        <f>G638</f>
        <v>54500</v>
      </c>
      <c r="H636" s="94">
        <f>H638</f>
        <v>2600</v>
      </c>
      <c r="I636" s="249">
        <f>G636+H636</f>
        <v>57100</v>
      </c>
      <c r="J636" s="249">
        <f>J645</f>
        <v>1000</v>
      </c>
      <c r="K636" s="197">
        <f>I636+J636</f>
        <v>58100</v>
      </c>
      <c r="L636" s="249"/>
      <c r="M636" s="249"/>
      <c r="N636" s="249">
        <f>SUM(N638:N652)</f>
        <v>49266.61</v>
      </c>
    </row>
    <row r="637" spans="1:25" x14ac:dyDescent="0.25">
      <c r="A637" s="95"/>
      <c r="F637" s="79"/>
      <c r="G637" s="79"/>
      <c r="H637" s="79"/>
      <c r="I637" s="79"/>
      <c r="J637" s="79"/>
      <c r="K637" s="155"/>
      <c r="L637" s="79"/>
      <c r="M637" s="79"/>
      <c r="N637" s="79"/>
    </row>
    <row r="638" spans="1:25" x14ac:dyDescent="0.25">
      <c r="A638" s="97">
        <v>3</v>
      </c>
      <c r="B638" s="63" t="s">
        <v>19</v>
      </c>
      <c r="C638" s="63"/>
      <c r="D638" s="63"/>
      <c r="E638" s="63"/>
      <c r="F638" s="79">
        <f>F639+F649</f>
        <v>14540.71</v>
      </c>
      <c r="G638" s="79">
        <f>G639+G649</f>
        <v>54500</v>
      </c>
      <c r="H638" s="79">
        <f>H639+H649</f>
        <v>2600</v>
      </c>
      <c r="I638" s="79">
        <f>G638+H638</f>
        <v>57100</v>
      </c>
      <c r="J638" s="79"/>
      <c r="K638" s="155">
        <f>I638+J638</f>
        <v>57100</v>
      </c>
      <c r="L638" s="79"/>
      <c r="M638" s="79"/>
      <c r="N638" s="79"/>
    </row>
    <row r="639" spans="1:25" x14ac:dyDescent="0.25">
      <c r="A639" s="97">
        <v>37</v>
      </c>
      <c r="B639" s="63" t="s">
        <v>178</v>
      </c>
      <c r="C639" s="63"/>
      <c r="D639" s="63"/>
      <c r="E639" s="63"/>
      <c r="F639" s="79">
        <f>F640</f>
        <v>11255.65</v>
      </c>
      <c r="G639" s="79">
        <f>G640</f>
        <v>48500</v>
      </c>
      <c r="H639" s="79">
        <f>H640</f>
        <v>2000</v>
      </c>
      <c r="I639" s="79">
        <f t="shared" ref="I639:I651" si="172">G639+H639</f>
        <v>50500</v>
      </c>
      <c r="J639" s="79"/>
      <c r="K639" s="155">
        <f t="shared" ref="K639:K651" si="173">I639+J639</f>
        <v>50500</v>
      </c>
      <c r="L639" s="79"/>
      <c r="M639" s="79"/>
      <c r="N639" s="79"/>
    </row>
    <row r="640" spans="1:25" x14ac:dyDescent="0.25">
      <c r="A640" s="97">
        <v>372</v>
      </c>
      <c r="B640" s="63" t="s">
        <v>178</v>
      </c>
      <c r="C640" s="63"/>
      <c r="D640" s="63"/>
      <c r="E640" s="63"/>
      <c r="F640" s="79">
        <f>F641+F642+F643+F644+F645+F646+F647+F648</f>
        <v>11255.65</v>
      </c>
      <c r="G640" s="79">
        <f>G641+G642+G643+G644+G645+G646+G647+G648</f>
        <v>48500</v>
      </c>
      <c r="H640" s="79">
        <f>H641+H642+H643+H644+H645+H646+H647+H648</f>
        <v>2000</v>
      </c>
      <c r="I640" s="79">
        <f t="shared" si="172"/>
        <v>50500</v>
      </c>
      <c r="J640" s="79"/>
      <c r="K640" s="155">
        <f t="shared" si="173"/>
        <v>50500</v>
      </c>
      <c r="L640" s="79"/>
      <c r="M640" s="79"/>
      <c r="N640" s="79"/>
    </row>
    <row r="641" spans="1:16" x14ac:dyDescent="0.25">
      <c r="A641" s="98">
        <v>3721</v>
      </c>
      <c r="B641" t="s">
        <v>730</v>
      </c>
      <c r="F641" s="73">
        <v>275.52999999999997</v>
      </c>
      <c r="G641" s="73">
        <v>1000</v>
      </c>
      <c r="H641" s="73"/>
      <c r="I641" s="73">
        <f t="shared" si="172"/>
        <v>1000</v>
      </c>
      <c r="J641" s="73"/>
      <c r="K641" s="154">
        <f t="shared" si="173"/>
        <v>1000</v>
      </c>
      <c r="L641" s="73"/>
      <c r="M641" s="73"/>
      <c r="N641" s="73">
        <v>682.84</v>
      </c>
    </row>
    <row r="642" spans="1:16" x14ac:dyDescent="0.25">
      <c r="A642" s="100">
        <v>3721</v>
      </c>
      <c r="B642" s="62" t="s">
        <v>330</v>
      </c>
      <c r="C642" s="62"/>
      <c r="D642" s="62"/>
      <c r="E642" s="62"/>
      <c r="F642" s="73"/>
      <c r="G642" s="73">
        <v>1500</v>
      </c>
      <c r="H642" s="73"/>
      <c r="I642" s="73">
        <f t="shared" si="172"/>
        <v>1500</v>
      </c>
      <c r="J642" s="73"/>
      <c r="K642" s="154">
        <f t="shared" si="173"/>
        <v>1500</v>
      </c>
      <c r="L642" s="73"/>
      <c r="M642" s="73"/>
      <c r="N642" s="73">
        <v>820</v>
      </c>
      <c r="O642" s="7" t="s">
        <v>704</v>
      </c>
    </row>
    <row r="643" spans="1:16" x14ac:dyDescent="0.25">
      <c r="A643" s="100">
        <v>3721</v>
      </c>
      <c r="B643" s="713" t="s">
        <v>366</v>
      </c>
      <c r="C643" s="713"/>
      <c r="D643" s="713"/>
      <c r="E643" s="713"/>
      <c r="F643" s="73"/>
      <c r="G643" s="73">
        <v>5000</v>
      </c>
      <c r="H643" s="73"/>
      <c r="I643" s="73">
        <f t="shared" si="172"/>
        <v>5000</v>
      </c>
      <c r="J643" s="73"/>
      <c r="K643" s="154">
        <f t="shared" si="173"/>
        <v>5000</v>
      </c>
      <c r="L643" s="73">
        <v>-1400</v>
      </c>
      <c r="M643" s="73"/>
      <c r="N643" s="73">
        <v>3600</v>
      </c>
    </row>
    <row r="644" spans="1:16" x14ac:dyDescent="0.25">
      <c r="A644" s="100">
        <v>3721</v>
      </c>
      <c r="B644" s="62" t="s">
        <v>331</v>
      </c>
      <c r="C644" s="62"/>
      <c r="D644" s="62"/>
      <c r="E644" s="62"/>
      <c r="F644" s="73">
        <v>6660</v>
      </c>
      <c r="G644" s="73">
        <v>10000</v>
      </c>
      <c r="H644" s="73">
        <f>4000</f>
        <v>4000</v>
      </c>
      <c r="I644" s="73">
        <f t="shared" si="172"/>
        <v>14000</v>
      </c>
      <c r="J644" s="73"/>
      <c r="K644" s="154">
        <f t="shared" si="173"/>
        <v>14000</v>
      </c>
      <c r="L644" s="73"/>
      <c r="M644" s="73"/>
      <c r="N644" s="73">
        <f>6660</f>
        <v>6660</v>
      </c>
    </row>
    <row r="645" spans="1:16" x14ac:dyDescent="0.25">
      <c r="A645" s="100">
        <v>3721</v>
      </c>
      <c r="B645" s="62" t="s">
        <v>332</v>
      </c>
      <c r="C645" s="62"/>
      <c r="D645" s="62"/>
      <c r="E645" s="62"/>
      <c r="F645" s="73">
        <v>4200</v>
      </c>
      <c r="G645" s="73">
        <v>5000</v>
      </c>
      <c r="H645" s="73">
        <f>4000-2000</f>
        <v>2000</v>
      </c>
      <c r="I645" s="73">
        <f t="shared" si="172"/>
        <v>7000</v>
      </c>
      <c r="J645" s="73">
        <v>1000</v>
      </c>
      <c r="K645" s="154">
        <f t="shared" si="173"/>
        <v>8000</v>
      </c>
      <c r="L645" s="73"/>
      <c r="M645" s="73"/>
      <c r="N645" s="73">
        <v>6800</v>
      </c>
    </row>
    <row r="646" spans="1:16" x14ac:dyDescent="0.25">
      <c r="A646" s="100">
        <v>3721</v>
      </c>
      <c r="B646" s="62" t="s">
        <v>333</v>
      </c>
      <c r="C646" s="62"/>
      <c r="D646" s="62"/>
      <c r="E646" s="62"/>
      <c r="F646" s="73"/>
      <c r="G646" s="73">
        <v>25000</v>
      </c>
      <c r="H646" s="73">
        <v>-4000</v>
      </c>
      <c r="I646" s="73">
        <f t="shared" si="172"/>
        <v>21000</v>
      </c>
      <c r="J646" s="73"/>
      <c r="K646" s="154">
        <f t="shared" si="173"/>
        <v>21000</v>
      </c>
      <c r="L646" s="73">
        <v>10500</v>
      </c>
      <c r="M646" s="73"/>
      <c r="N646" s="73">
        <f>24400</f>
        <v>24400</v>
      </c>
    </row>
    <row r="647" spans="1:16" x14ac:dyDescent="0.25">
      <c r="A647" s="100">
        <v>3721</v>
      </c>
      <c r="B647" s="62" t="s">
        <v>335</v>
      </c>
      <c r="F647" s="73">
        <v>120.12</v>
      </c>
      <c r="G647" s="73">
        <v>500</v>
      </c>
      <c r="H647" s="73"/>
      <c r="I647" s="73">
        <f t="shared" si="172"/>
        <v>500</v>
      </c>
      <c r="J647" s="73"/>
      <c r="K647" s="154">
        <f t="shared" si="173"/>
        <v>500</v>
      </c>
      <c r="L647" s="73"/>
      <c r="M647" s="73"/>
      <c r="N647" s="73">
        <v>281.16000000000003</v>
      </c>
    </row>
    <row r="648" spans="1:16" ht="18" customHeight="1" x14ac:dyDescent="0.25">
      <c r="A648" s="98">
        <v>3722</v>
      </c>
      <c r="B648" s="62" t="s">
        <v>482</v>
      </c>
      <c r="D648" s="62"/>
      <c r="E648" s="62"/>
      <c r="F648" s="73"/>
      <c r="G648" s="73">
        <v>500</v>
      </c>
      <c r="H648" s="73"/>
      <c r="I648" s="73">
        <f t="shared" si="172"/>
        <v>500</v>
      </c>
      <c r="J648" s="73"/>
      <c r="K648" s="154">
        <f t="shared" si="173"/>
        <v>500</v>
      </c>
      <c r="L648" s="73">
        <v>-500</v>
      </c>
      <c r="M648" s="73"/>
      <c r="N648" s="73"/>
    </row>
    <row r="649" spans="1:16" x14ac:dyDescent="0.25">
      <c r="A649" s="97">
        <v>38</v>
      </c>
      <c r="B649" s="63" t="s">
        <v>180</v>
      </c>
      <c r="F649" s="79">
        <f t="shared" ref="F649:H650" si="174">F650</f>
        <v>3285.06</v>
      </c>
      <c r="G649" s="79">
        <f t="shared" si="174"/>
        <v>6000</v>
      </c>
      <c r="H649" s="79">
        <f t="shared" si="174"/>
        <v>600</v>
      </c>
      <c r="I649" s="79">
        <f t="shared" si="172"/>
        <v>6600</v>
      </c>
      <c r="J649" s="79"/>
      <c r="K649" s="155">
        <f t="shared" si="173"/>
        <v>6600</v>
      </c>
      <c r="L649" s="79"/>
      <c r="M649" s="79"/>
      <c r="N649" s="79"/>
    </row>
    <row r="650" spans="1:16" x14ac:dyDescent="0.25">
      <c r="A650" s="97">
        <v>381</v>
      </c>
      <c r="B650" s="63" t="s">
        <v>181</v>
      </c>
      <c r="C650" s="63"/>
      <c r="D650" s="63"/>
      <c r="E650" s="63"/>
      <c r="F650" s="79">
        <f t="shared" si="174"/>
        <v>3285.06</v>
      </c>
      <c r="G650" s="79">
        <f t="shared" si="174"/>
        <v>6000</v>
      </c>
      <c r="H650" s="79">
        <f t="shared" si="174"/>
        <v>600</v>
      </c>
      <c r="I650" s="79">
        <f t="shared" si="172"/>
        <v>6600</v>
      </c>
      <c r="J650" s="79"/>
      <c r="K650" s="155">
        <f t="shared" si="173"/>
        <v>6600</v>
      </c>
      <c r="L650" s="79"/>
      <c r="M650" s="79"/>
      <c r="N650" s="79"/>
    </row>
    <row r="651" spans="1:16" x14ac:dyDescent="0.25">
      <c r="A651" s="100">
        <v>3811</v>
      </c>
      <c r="B651" s="62" t="s">
        <v>483</v>
      </c>
      <c r="F651" s="73">
        <v>3285.06</v>
      </c>
      <c r="G651" s="73">
        <v>6000</v>
      </c>
      <c r="H651" s="73">
        <v>600</v>
      </c>
      <c r="I651" s="73">
        <f t="shared" si="172"/>
        <v>6600</v>
      </c>
      <c r="J651" s="73"/>
      <c r="K651" s="154">
        <f t="shared" si="173"/>
        <v>6600</v>
      </c>
      <c r="L651" s="73"/>
      <c r="M651" s="73"/>
      <c r="N651" s="73">
        <v>6022.61</v>
      </c>
      <c r="O651" s="7">
        <f>500*12</f>
        <v>6000</v>
      </c>
      <c r="P651" s="7" t="s">
        <v>741</v>
      </c>
    </row>
    <row r="652" spans="1:16" x14ac:dyDescent="0.25">
      <c r="A652" s="100"/>
      <c r="B652" s="62"/>
      <c r="F652" s="73"/>
      <c r="G652" s="73"/>
      <c r="H652" s="73"/>
      <c r="I652" s="73"/>
      <c r="J652" s="73"/>
      <c r="K652" s="155"/>
      <c r="L652" s="73"/>
      <c r="M652" s="73"/>
      <c r="N652" s="73"/>
    </row>
    <row r="653" spans="1:16" x14ac:dyDescent="0.25">
      <c r="A653" s="185" t="s">
        <v>467</v>
      </c>
      <c r="B653" s="182"/>
      <c r="C653" s="182"/>
      <c r="D653" s="183"/>
      <c r="E653" s="184"/>
      <c r="F653" s="184"/>
      <c r="G653" s="184"/>
      <c r="H653" s="184"/>
      <c r="I653" s="184"/>
      <c r="J653" s="184"/>
      <c r="K653" s="155"/>
      <c r="L653" s="184"/>
      <c r="M653" s="184"/>
      <c r="N653" s="184"/>
      <c r="O653" s="193"/>
    </row>
    <row r="654" spans="1:16" x14ac:dyDescent="0.25">
      <c r="A654" s="102" t="s">
        <v>109</v>
      </c>
      <c r="B654" s="112"/>
      <c r="C654" s="112"/>
      <c r="D654" s="112"/>
      <c r="E654" s="112"/>
      <c r="F654" s="94">
        <f>F656</f>
        <v>0</v>
      </c>
      <c r="G654" s="94">
        <f>G656</f>
        <v>2000</v>
      </c>
      <c r="H654" s="94">
        <f>H656</f>
        <v>500</v>
      </c>
      <c r="I654" s="249">
        <f>G654+H654</f>
        <v>2500</v>
      </c>
      <c r="J654" s="249"/>
      <c r="K654" s="197">
        <f>I654+J654</f>
        <v>2500</v>
      </c>
      <c r="L654" s="249"/>
      <c r="M654" s="249"/>
      <c r="N654" s="249"/>
    </row>
    <row r="655" spans="1:16" x14ac:dyDescent="0.25">
      <c r="A655" s="109"/>
      <c r="B655" s="110"/>
      <c r="C655" s="110"/>
      <c r="D655" s="110"/>
      <c r="E655" s="110"/>
      <c r="F655" s="73"/>
      <c r="G655" s="73"/>
      <c r="H655" s="73"/>
      <c r="I655" s="73"/>
      <c r="J655" s="73"/>
      <c r="K655" s="155"/>
      <c r="L655" s="73"/>
      <c r="M655" s="73"/>
      <c r="N655" s="73"/>
    </row>
    <row r="656" spans="1:16" x14ac:dyDescent="0.25">
      <c r="A656" s="97">
        <v>3</v>
      </c>
      <c r="B656" s="63" t="s">
        <v>19</v>
      </c>
      <c r="C656" s="63"/>
      <c r="D656" s="63"/>
      <c r="E656" s="62"/>
      <c r="F656" s="79">
        <f t="shared" ref="F656:H658" si="175">F657</f>
        <v>0</v>
      </c>
      <c r="G656" s="79">
        <f t="shared" si="175"/>
        <v>2000</v>
      </c>
      <c r="H656" s="79">
        <f t="shared" si="175"/>
        <v>500</v>
      </c>
      <c r="I656" s="79">
        <f>G656+H656</f>
        <v>2500</v>
      </c>
      <c r="J656" s="79"/>
      <c r="K656" s="155">
        <f>I656+J656</f>
        <v>2500</v>
      </c>
      <c r="L656" s="79"/>
      <c r="M656" s="79"/>
      <c r="N656" s="79"/>
    </row>
    <row r="657" spans="1:21" x14ac:dyDescent="0.25">
      <c r="A657" s="97">
        <v>37</v>
      </c>
      <c r="B657" s="63" t="s">
        <v>178</v>
      </c>
      <c r="C657" s="63"/>
      <c r="D657" s="63"/>
      <c r="E657" s="63"/>
      <c r="F657" s="79">
        <f t="shared" si="175"/>
        <v>0</v>
      </c>
      <c r="G657" s="79">
        <f t="shared" si="175"/>
        <v>2000</v>
      </c>
      <c r="H657" s="79">
        <f t="shared" si="175"/>
        <v>500</v>
      </c>
      <c r="I657" s="79">
        <f t="shared" ref="I657:I659" si="176">G657+H657</f>
        <v>2500</v>
      </c>
      <c r="J657" s="79"/>
      <c r="K657" s="155">
        <f t="shared" ref="K657:K659" si="177">I657+J657</f>
        <v>2500</v>
      </c>
      <c r="L657" s="79"/>
      <c r="M657" s="79"/>
      <c r="N657" s="79"/>
    </row>
    <row r="658" spans="1:21" x14ac:dyDescent="0.25">
      <c r="A658" s="97">
        <v>372</v>
      </c>
      <c r="B658" s="63" t="s">
        <v>179</v>
      </c>
      <c r="C658" s="63"/>
      <c r="D658" s="63"/>
      <c r="E658" s="63"/>
      <c r="F658" s="79">
        <f t="shared" si="175"/>
        <v>0</v>
      </c>
      <c r="G658" s="79">
        <f t="shared" si="175"/>
        <v>2000</v>
      </c>
      <c r="H658" s="79">
        <f t="shared" si="175"/>
        <v>500</v>
      </c>
      <c r="I658" s="79">
        <f t="shared" si="176"/>
        <v>2500</v>
      </c>
      <c r="J658" s="79"/>
      <c r="K658" s="155">
        <f t="shared" si="177"/>
        <v>2500</v>
      </c>
      <c r="L658" s="79"/>
      <c r="M658" s="79"/>
      <c r="N658" s="79"/>
    </row>
    <row r="659" spans="1:21" ht="17.25" customHeight="1" x14ac:dyDescent="0.25">
      <c r="A659" s="98">
        <v>3722</v>
      </c>
      <c r="B659" s="62" t="s">
        <v>336</v>
      </c>
      <c r="F659" s="73"/>
      <c r="G659" s="73">
        <v>2000</v>
      </c>
      <c r="H659" s="73">
        <v>500</v>
      </c>
      <c r="I659" s="73">
        <f t="shared" si="176"/>
        <v>2500</v>
      </c>
      <c r="J659" s="73"/>
      <c r="K659" s="154">
        <f t="shared" si="177"/>
        <v>2500</v>
      </c>
      <c r="L659" s="73"/>
      <c r="M659" s="73"/>
      <c r="N659" s="73"/>
    </row>
    <row r="660" spans="1:21" x14ac:dyDescent="0.25">
      <c r="A660" s="98"/>
      <c r="B660" s="58"/>
      <c r="C660" s="58"/>
      <c r="D660" s="58"/>
      <c r="E660" s="58"/>
      <c r="F660" s="73"/>
      <c r="G660" s="73"/>
      <c r="H660" s="73"/>
      <c r="I660" s="73"/>
      <c r="J660" s="73"/>
      <c r="K660" s="155"/>
      <c r="L660" s="73"/>
      <c r="M660" s="73"/>
      <c r="N660" s="73"/>
    </row>
    <row r="661" spans="1:21" x14ac:dyDescent="0.25">
      <c r="A661" s="185" t="s">
        <v>468</v>
      </c>
      <c r="B661" s="182"/>
      <c r="C661" s="182"/>
      <c r="D661" s="183"/>
      <c r="E661" s="184"/>
      <c r="F661" s="184"/>
      <c r="G661" s="184"/>
      <c r="H661" s="184"/>
      <c r="I661" s="184"/>
      <c r="J661" s="184"/>
      <c r="K661" s="155"/>
      <c r="L661" s="184"/>
      <c r="M661" s="184"/>
      <c r="N661" s="184"/>
      <c r="O661" s="192"/>
    </row>
    <row r="662" spans="1:21" x14ac:dyDescent="0.25">
      <c r="A662" s="777" t="s">
        <v>615</v>
      </c>
      <c r="B662" s="778"/>
      <c r="C662" s="778"/>
      <c r="D662" s="778"/>
      <c r="E662" s="779"/>
      <c r="F662" s="152">
        <f>F664</f>
        <v>174.72</v>
      </c>
      <c r="G662" s="152">
        <f>G664</f>
        <v>86560</v>
      </c>
      <c r="H662" s="152">
        <f>H664</f>
        <v>2450</v>
      </c>
      <c r="I662" s="152">
        <f>G662+H662</f>
        <v>89010</v>
      </c>
      <c r="J662" s="152"/>
      <c r="K662" s="197">
        <f>J662+I662</f>
        <v>89010</v>
      </c>
      <c r="L662" s="152"/>
      <c r="M662" s="152"/>
      <c r="N662" s="152">
        <f>N667+N671+N675</f>
        <v>29697.439999999999</v>
      </c>
    </row>
    <row r="663" spans="1:21" x14ac:dyDescent="0.25">
      <c r="A663" s="98"/>
      <c r="B663" s="62"/>
      <c r="F663" s="79"/>
      <c r="G663" s="79"/>
      <c r="H663" s="79"/>
      <c r="I663" s="79"/>
      <c r="J663" s="79"/>
      <c r="K663" s="155"/>
      <c r="L663" s="79"/>
      <c r="M663" s="79"/>
      <c r="N663" s="79"/>
      <c r="P663" s="7" t="s">
        <v>365</v>
      </c>
    </row>
    <row r="664" spans="1:21" x14ac:dyDescent="0.25">
      <c r="A664" s="97">
        <v>3</v>
      </c>
      <c r="B664" s="749" t="s">
        <v>19</v>
      </c>
      <c r="C664" s="749"/>
      <c r="D664" s="749"/>
      <c r="E664" s="749"/>
      <c r="F664" s="79">
        <f>F665+F672</f>
        <v>174.72</v>
      </c>
      <c r="G664" s="79">
        <f>G665+G672</f>
        <v>86560</v>
      </c>
      <c r="H664" s="79">
        <f>H665+H672</f>
        <v>2450</v>
      </c>
      <c r="I664" s="79">
        <f>G664+H664</f>
        <v>89010</v>
      </c>
      <c r="J664" s="79"/>
      <c r="K664" s="155">
        <f>I664+J664</f>
        <v>89010</v>
      </c>
      <c r="L664" s="79"/>
      <c r="M664" s="79"/>
      <c r="N664" s="79"/>
    </row>
    <row r="665" spans="1:21" x14ac:dyDescent="0.25">
      <c r="A665" s="97">
        <v>31</v>
      </c>
      <c r="B665" s="749" t="s">
        <v>166</v>
      </c>
      <c r="C665" s="749"/>
      <c r="D665" s="749"/>
      <c r="E665" s="749"/>
      <c r="F665" s="79">
        <f>F666+F668+F670</f>
        <v>174.72</v>
      </c>
      <c r="G665" s="79">
        <f>G666+G668+G670</f>
        <v>86410</v>
      </c>
      <c r="H665" s="79">
        <f>H666+H668+H670</f>
        <v>0</v>
      </c>
      <c r="I665" s="79">
        <f t="shared" ref="I665:I675" si="178">G665+H665</f>
        <v>86410</v>
      </c>
      <c r="J665" s="79"/>
      <c r="K665" s="155">
        <f t="shared" ref="K665:K675" si="179">I665+J665</f>
        <v>86410</v>
      </c>
      <c r="L665" s="79"/>
      <c r="M665" s="79"/>
      <c r="N665" s="79"/>
    </row>
    <row r="666" spans="1:21" x14ac:dyDescent="0.25">
      <c r="A666" s="97">
        <v>311</v>
      </c>
      <c r="B666" s="61" t="s">
        <v>167</v>
      </c>
      <c r="C666" s="61"/>
      <c r="D666" s="61"/>
      <c r="E666" s="61"/>
      <c r="F666" s="79">
        <f>F667</f>
        <v>174.72</v>
      </c>
      <c r="G666" s="79">
        <f>G667</f>
        <v>70560</v>
      </c>
      <c r="H666" s="79">
        <f>H667</f>
        <v>0</v>
      </c>
      <c r="I666" s="79">
        <f t="shared" si="178"/>
        <v>70560</v>
      </c>
      <c r="J666" s="79"/>
      <c r="K666" s="155">
        <f t="shared" si="179"/>
        <v>70560</v>
      </c>
      <c r="L666" s="79"/>
      <c r="M666" s="79"/>
      <c r="N666" s="79"/>
      <c r="P666" s="7" t="s">
        <v>525</v>
      </c>
    </row>
    <row r="667" spans="1:21" x14ac:dyDescent="0.25">
      <c r="A667" s="98">
        <v>3111</v>
      </c>
      <c r="B667" s="700" t="s">
        <v>753</v>
      </c>
      <c r="C667" s="700"/>
      <c r="D667" s="700"/>
      <c r="E667" s="700"/>
      <c r="F667" s="73">
        <f>123.02+16.76+34.94</f>
        <v>174.72</v>
      </c>
      <c r="G667" s="73">
        <f>7*10080</f>
        <v>70560</v>
      </c>
      <c r="H667" s="73"/>
      <c r="I667" s="73">
        <f t="shared" si="178"/>
        <v>70560</v>
      </c>
      <c r="J667" s="73"/>
      <c r="K667" s="154">
        <f t="shared" si="179"/>
        <v>70560</v>
      </c>
      <c r="L667" s="73">
        <v>-31000</v>
      </c>
      <c r="M667" s="73"/>
      <c r="N667" s="73">
        <f>19766.42+791.13+3923.61</f>
        <v>24481.16</v>
      </c>
      <c r="O667" s="7">
        <f>840*12</f>
        <v>10080</v>
      </c>
      <c r="Q667" s="7" t="s">
        <v>752</v>
      </c>
    </row>
    <row r="668" spans="1:21" s="145" customFormat="1" x14ac:dyDescent="0.25">
      <c r="A668" s="97">
        <v>312</v>
      </c>
      <c r="B668" s="63" t="s">
        <v>168</v>
      </c>
      <c r="C668" s="63"/>
      <c r="D668" s="63"/>
      <c r="E668" s="63"/>
      <c r="F668" s="79">
        <f>F669</f>
        <v>0</v>
      </c>
      <c r="G668" s="79">
        <f>G669</f>
        <v>4200</v>
      </c>
      <c r="H668" s="79">
        <f>H669</f>
        <v>0</v>
      </c>
      <c r="I668" s="79">
        <f t="shared" si="178"/>
        <v>4200</v>
      </c>
      <c r="J668" s="79"/>
      <c r="K668" s="155">
        <f t="shared" si="179"/>
        <v>4200</v>
      </c>
      <c r="L668" s="79"/>
      <c r="M668" s="79"/>
      <c r="N668" s="79"/>
      <c r="O668" s="7" t="s">
        <v>526</v>
      </c>
      <c r="P668" s="7"/>
      <c r="Q668" s="7">
        <f>300*7</f>
        <v>2100</v>
      </c>
      <c r="R668" s="190"/>
      <c r="S668" s="190"/>
      <c r="T668" s="190"/>
      <c r="U668" s="190"/>
    </row>
    <row r="669" spans="1:21" x14ac:dyDescent="0.25">
      <c r="A669" s="98">
        <v>3121</v>
      </c>
      <c r="B669" s="755" t="s">
        <v>209</v>
      </c>
      <c r="C669" s="755"/>
      <c r="D669" s="755"/>
      <c r="E669" s="755"/>
      <c r="F669" s="73"/>
      <c r="G669" s="73">
        <f>2100+2100</f>
        <v>4200</v>
      </c>
      <c r="H669" s="73"/>
      <c r="I669" s="73">
        <f t="shared" si="178"/>
        <v>4200</v>
      </c>
      <c r="J669" s="73"/>
      <c r="K669" s="154">
        <f t="shared" si="179"/>
        <v>4200</v>
      </c>
      <c r="L669" s="73">
        <v>-1750</v>
      </c>
      <c r="M669" s="73"/>
      <c r="N669" s="73"/>
    </row>
    <row r="670" spans="1:21" x14ac:dyDescent="0.25">
      <c r="A670" s="97">
        <v>313</v>
      </c>
      <c r="B670" s="61" t="s">
        <v>169</v>
      </c>
      <c r="C670" s="61"/>
      <c r="D670" s="61"/>
      <c r="E670" s="61"/>
      <c r="F670" s="79">
        <f>F671</f>
        <v>0</v>
      </c>
      <c r="G670" s="79">
        <f>G671</f>
        <v>11650</v>
      </c>
      <c r="H670" s="79">
        <f>H671</f>
        <v>0</v>
      </c>
      <c r="I670" s="79">
        <f t="shared" si="178"/>
        <v>11650</v>
      </c>
      <c r="J670" s="79"/>
      <c r="K670" s="155">
        <f t="shared" si="179"/>
        <v>11650</v>
      </c>
      <c r="L670" s="79"/>
      <c r="M670" s="79"/>
      <c r="N670" s="79"/>
    </row>
    <row r="671" spans="1:21" x14ac:dyDescent="0.25">
      <c r="A671" s="98">
        <v>3131</v>
      </c>
      <c r="B671" s="700" t="s">
        <v>337</v>
      </c>
      <c r="C671" s="700"/>
      <c r="D671" s="700"/>
      <c r="E671" s="700"/>
      <c r="F671" s="73"/>
      <c r="G671" s="73">
        <v>11650</v>
      </c>
      <c r="H671" s="73"/>
      <c r="I671" s="73">
        <f t="shared" si="178"/>
        <v>11650</v>
      </c>
      <c r="J671" s="73"/>
      <c r="K671" s="154">
        <f t="shared" si="179"/>
        <v>11650</v>
      </c>
      <c r="L671" s="73">
        <v>-5000</v>
      </c>
      <c r="M671" s="73"/>
      <c r="N671" s="73">
        <v>3866.28</v>
      </c>
    </row>
    <row r="672" spans="1:21" x14ac:dyDescent="0.25">
      <c r="A672" s="97">
        <v>32</v>
      </c>
      <c r="B672" s="61" t="s">
        <v>170</v>
      </c>
      <c r="C672" s="61"/>
      <c r="D672" s="61"/>
      <c r="E672" s="61"/>
      <c r="F672" s="79">
        <f t="shared" ref="F672:H673" si="180">F673</f>
        <v>0</v>
      </c>
      <c r="G672" s="79">
        <f t="shared" si="180"/>
        <v>150</v>
      </c>
      <c r="H672" s="79">
        <f t="shared" si="180"/>
        <v>2450</v>
      </c>
      <c r="I672" s="79">
        <f t="shared" si="178"/>
        <v>2600</v>
      </c>
      <c r="J672" s="79"/>
      <c r="K672" s="155">
        <f t="shared" si="179"/>
        <v>2600</v>
      </c>
      <c r="L672" s="79"/>
      <c r="M672" s="79"/>
      <c r="N672" s="79"/>
    </row>
    <row r="673" spans="1:28" x14ac:dyDescent="0.25">
      <c r="A673" s="97">
        <v>321</v>
      </c>
      <c r="B673" s="749" t="s">
        <v>338</v>
      </c>
      <c r="C673" s="749"/>
      <c r="D673" s="749"/>
      <c r="E673" s="749"/>
      <c r="F673" s="79">
        <f t="shared" si="180"/>
        <v>0</v>
      </c>
      <c r="G673" s="79">
        <f t="shared" si="180"/>
        <v>150</v>
      </c>
      <c r="H673" s="79">
        <f>H674+H675</f>
        <v>2450</v>
      </c>
      <c r="I673" s="79">
        <f t="shared" si="178"/>
        <v>2600</v>
      </c>
      <c r="J673" s="79"/>
      <c r="K673" s="155">
        <f t="shared" si="179"/>
        <v>2600</v>
      </c>
      <c r="L673" s="79"/>
      <c r="M673" s="79"/>
      <c r="N673" s="79"/>
    </row>
    <row r="674" spans="1:28" x14ac:dyDescent="0.25">
      <c r="A674" s="98">
        <v>3214</v>
      </c>
      <c r="B674" s="700" t="s">
        <v>339</v>
      </c>
      <c r="C674" s="700"/>
      <c r="D674" s="700"/>
      <c r="E674" s="700"/>
      <c r="F674" s="73"/>
      <c r="G674" s="73">
        <v>150</v>
      </c>
      <c r="H674" s="73"/>
      <c r="I674" s="73">
        <f t="shared" si="178"/>
        <v>150</v>
      </c>
      <c r="J674" s="73"/>
      <c r="K674" s="154">
        <f t="shared" si="179"/>
        <v>150</v>
      </c>
      <c r="L674" s="73">
        <v>-150</v>
      </c>
      <c r="M674" s="73"/>
      <c r="N674" s="73"/>
    </row>
    <row r="675" spans="1:28" x14ac:dyDescent="0.25">
      <c r="A675" s="98"/>
      <c r="B675" s="58" t="s">
        <v>744</v>
      </c>
      <c r="C675" s="58"/>
      <c r="D675" s="58"/>
      <c r="E675" s="58"/>
      <c r="F675" s="73"/>
      <c r="G675" s="73"/>
      <c r="H675" s="73">
        <v>2450</v>
      </c>
      <c r="I675" s="73">
        <f t="shared" si="178"/>
        <v>2450</v>
      </c>
      <c r="J675" s="73"/>
      <c r="K675" s="154">
        <f t="shared" si="179"/>
        <v>2450</v>
      </c>
      <c r="L675" s="73">
        <v>-400</v>
      </c>
      <c r="M675" s="73"/>
      <c r="N675" s="73">
        <v>1350</v>
      </c>
    </row>
    <row r="676" spans="1:28" x14ac:dyDescent="0.25">
      <c r="A676" s="98"/>
      <c r="B676" s="58"/>
      <c r="C676" s="58"/>
      <c r="D676" s="58"/>
      <c r="E676" s="58"/>
      <c r="F676" s="79"/>
      <c r="G676" s="79"/>
      <c r="H676" s="79"/>
      <c r="I676" s="79"/>
      <c r="J676" s="79"/>
      <c r="K676" s="155"/>
      <c r="L676" s="79"/>
      <c r="M676" s="79"/>
      <c r="N676" s="79"/>
    </row>
    <row r="677" spans="1:28" x14ac:dyDescent="0.25">
      <c r="A677" s="77" t="s">
        <v>110</v>
      </c>
      <c r="B677" s="77"/>
      <c r="C677" s="77"/>
      <c r="D677" s="77"/>
      <c r="E677" s="77"/>
      <c r="F677" s="78">
        <f>F679</f>
        <v>499.98</v>
      </c>
      <c r="G677" s="78">
        <f>G679</f>
        <v>1100</v>
      </c>
      <c r="H677" s="78">
        <f t="shared" ref="H677:K677" si="181">H679</f>
        <v>1000</v>
      </c>
      <c r="I677" s="78">
        <f t="shared" si="181"/>
        <v>2100</v>
      </c>
      <c r="J677" s="78">
        <f t="shared" si="181"/>
        <v>0</v>
      </c>
      <c r="K677" s="78">
        <f t="shared" si="181"/>
        <v>2100</v>
      </c>
      <c r="L677" s="363"/>
      <c r="M677" s="363"/>
      <c r="N677" s="363"/>
    </row>
    <row r="678" spans="1:28" x14ac:dyDescent="0.25">
      <c r="A678" s="185" t="s">
        <v>469</v>
      </c>
      <c r="B678" s="182"/>
      <c r="C678" s="182"/>
      <c r="D678" s="183"/>
      <c r="E678" s="184"/>
      <c r="F678" s="184"/>
      <c r="G678" s="184"/>
      <c r="H678" s="184"/>
      <c r="I678" s="184"/>
      <c r="J678" s="184"/>
      <c r="K678" s="155"/>
      <c r="L678" s="184"/>
      <c r="M678" s="184"/>
      <c r="N678" s="184"/>
      <c r="O678" s="192"/>
    </row>
    <row r="679" spans="1:28" x14ac:dyDescent="0.25">
      <c r="A679" s="102" t="s">
        <v>340</v>
      </c>
      <c r="B679" s="112"/>
      <c r="C679" s="112"/>
      <c r="D679" s="112"/>
      <c r="E679" s="112"/>
      <c r="F679" s="94">
        <f>F681</f>
        <v>499.98</v>
      </c>
      <c r="G679" s="94">
        <f>G681</f>
        <v>1100</v>
      </c>
      <c r="H679" s="94">
        <f>H681</f>
        <v>1000</v>
      </c>
      <c r="I679" s="249">
        <f>G679+H679</f>
        <v>2100</v>
      </c>
      <c r="J679" s="249"/>
      <c r="K679" s="197">
        <f>I679+J679</f>
        <v>2100</v>
      </c>
      <c r="L679" s="249"/>
      <c r="M679" s="249"/>
      <c r="N679" s="249">
        <f>N684</f>
        <v>2000</v>
      </c>
      <c r="W679" s="145"/>
    </row>
    <row r="680" spans="1:28" x14ac:dyDescent="0.25">
      <c r="A680" s="98"/>
      <c r="B680" s="62"/>
      <c r="F680" s="79"/>
      <c r="G680" s="79"/>
      <c r="H680" s="79"/>
      <c r="I680" s="79"/>
      <c r="J680" s="79"/>
      <c r="K680" s="155"/>
      <c r="L680" s="79"/>
      <c r="M680" s="79"/>
      <c r="N680" s="79"/>
    </row>
    <row r="681" spans="1:28" x14ac:dyDescent="0.25">
      <c r="A681" s="97">
        <v>3</v>
      </c>
      <c r="B681" s="749" t="s">
        <v>19</v>
      </c>
      <c r="C681" s="749"/>
      <c r="D681" s="749"/>
      <c r="E681" s="749"/>
      <c r="F681" s="79">
        <f t="shared" ref="F681:H682" si="182">F682</f>
        <v>499.98</v>
      </c>
      <c r="G681" s="79">
        <f t="shared" si="182"/>
        <v>1100</v>
      </c>
      <c r="H681" s="79">
        <f t="shared" si="182"/>
        <v>1000</v>
      </c>
      <c r="I681" s="79">
        <f>G681+H681</f>
        <v>2100</v>
      </c>
      <c r="J681" s="79"/>
      <c r="K681" s="155">
        <f>I681+J681</f>
        <v>2100</v>
      </c>
      <c r="L681" s="79"/>
      <c r="M681" s="79"/>
      <c r="N681" s="79"/>
      <c r="X681" s="145"/>
      <c r="Y681" s="145"/>
    </row>
    <row r="682" spans="1:28" x14ac:dyDescent="0.25">
      <c r="A682" s="97">
        <v>38</v>
      </c>
      <c r="B682" s="63" t="s">
        <v>180</v>
      </c>
      <c r="C682" s="63"/>
      <c r="D682" s="63"/>
      <c r="E682" s="63"/>
      <c r="F682" s="79">
        <f t="shared" si="182"/>
        <v>499.98</v>
      </c>
      <c r="G682" s="79">
        <f t="shared" si="182"/>
        <v>1100</v>
      </c>
      <c r="H682" s="79">
        <f t="shared" si="182"/>
        <v>1000</v>
      </c>
      <c r="I682" s="79">
        <f t="shared" ref="I682:I685" si="183">G682+H682</f>
        <v>2100</v>
      </c>
      <c r="J682" s="79"/>
      <c r="K682" s="155">
        <f t="shared" ref="K682:K685" si="184">I682+J682</f>
        <v>2100</v>
      </c>
      <c r="L682" s="79"/>
      <c r="M682" s="79"/>
      <c r="N682" s="79"/>
      <c r="T682" s="190"/>
      <c r="U682" s="190"/>
      <c r="V682" s="145"/>
    </row>
    <row r="683" spans="1:28" x14ac:dyDescent="0.25">
      <c r="A683" s="97">
        <v>381</v>
      </c>
      <c r="B683" s="63" t="s">
        <v>181</v>
      </c>
      <c r="C683" s="63"/>
      <c r="D683" s="63"/>
      <c r="E683" s="63"/>
      <c r="F683" s="79">
        <f>F684+F685</f>
        <v>499.98</v>
      </c>
      <c r="G683" s="79">
        <f>G684+G685</f>
        <v>1100</v>
      </c>
      <c r="H683" s="79">
        <f>H684+H685</f>
        <v>1000</v>
      </c>
      <c r="I683" s="79">
        <f t="shared" si="183"/>
        <v>2100</v>
      </c>
      <c r="J683" s="79"/>
      <c r="K683" s="155">
        <f t="shared" si="184"/>
        <v>2100</v>
      </c>
      <c r="L683" s="79"/>
      <c r="M683" s="79"/>
      <c r="N683" s="79"/>
    </row>
    <row r="684" spans="1:28" x14ac:dyDescent="0.25">
      <c r="A684" s="98">
        <v>3811</v>
      </c>
      <c r="B684" s="62" t="s">
        <v>341</v>
      </c>
      <c r="F684" s="73">
        <v>499.98</v>
      </c>
      <c r="G684" s="73">
        <v>1000</v>
      </c>
      <c r="H684" s="73">
        <v>1000</v>
      </c>
      <c r="I684" s="73">
        <f t="shared" si="183"/>
        <v>2000</v>
      </c>
      <c r="J684" s="73"/>
      <c r="K684" s="154">
        <f t="shared" si="184"/>
        <v>2000</v>
      </c>
      <c r="L684" s="73"/>
      <c r="M684" s="73"/>
      <c r="N684" s="73">
        <v>2000</v>
      </c>
      <c r="O684" s="7">
        <f>56*12</f>
        <v>672</v>
      </c>
      <c r="Z684" s="145"/>
      <c r="AA684" s="145"/>
      <c r="AB684" s="145"/>
    </row>
    <row r="685" spans="1:28" x14ac:dyDescent="0.25">
      <c r="A685" s="98">
        <v>3811</v>
      </c>
      <c r="B685" s="62" t="s">
        <v>342</v>
      </c>
      <c r="F685" s="73"/>
      <c r="G685" s="73">
        <v>100</v>
      </c>
      <c r="H685" s="73"/>
      <c r="I685" s="73">
        <f t="shared" si="183"/>
        <v>100</v>
      </c>
      <c r="J685" s="73"/>
      <c r="K685" s="154">
        <f t="shared" si="184"/>
        <v>100</v>
      </c>
      <c r="L685" s="73">
        <v>-100</v>
      </c>
      <c r="M685" s="73"/>
      <c r="N685" s="73"/>
    </row>
    <row r="686" spans="1:28" x14ac:dyDescent="0.25">
      <c r="A686" s="100"/>
      <c r="B686" s="62"/>
      <c r="C686" s="62"/>
      <c r="D686" s="62"/>
      <c r="E686" s="62"/>
      <c r="F686" s="73"/>
      <c r="G686" s="73"/>
      <c r="H686" s="73"/>
      <c r="I686" s="73"/>
      <c r="J686" s="73"/>
      <c r="K686" s="155"/>
      <c r="L686" s="73"/>
      <c r="M686" s="73"/>
      <c r="N686" s="73"/>
    </row>
    <row r="687" spans="1:28" s="145" customFormat="1" x14ac:dyDescent="0.25">
      <c r="A687" s="77" t="s">
        <v>416</v>
      </c>
      <c r="B687" s="77"/>
      <c r="C687" s="77"/>
      <c r="D687" s="77"/>
      <c r="E687" s="77"/>
      <c r="F687" s="78">
        <f>F689</f>
        <v>0</v>
      </c>
      <c r="G687" s="78">
        <f>G689</f>
        <v>20612</v>
      </c>
      <c r="H687" s="78">
        <f t="shared" ref="H687:K687" si="185">H689</f>
        <v>-14612</v>
      </c>
      <c r="I687" s="78">
        <f t="shared" si="185"/>
        <v>6000</v>
      </c>
      <c r="J687" s="78">
        <f t="shared" si="185"/>
        <v>-2000</v>
      </c>
      <c r="K687" s="78">
        <f t="shared" si="185"/>
        <v>4000</v>
      </c>
      <c r="L687" s="363"/>
      <c r="M687" s="363"/>
      <c r="N687" s="363"/>
      <c r="O687" s="190"/>
      <c r="P687" s="190"/>
      <c r="Q687" s="190"/>
      <c r="R687" s="190"/>
      <c r="S687" s="190"/>
      <c r="T687" s="7"/>
      <c r="U687" s="7"/>
      <c r="V687"/>
      <c r="W687"/>
      <c r="X687"/>
      <c r="Y687"/>
      <c r="Z687"/>
      <c r="AA687"/>
      <c r="AB687"/>
    </row>
    <row r="688" spans="1:28" x14ac:dyDescent="0.25">
      <c r="A688" s="185" t="s">
        <v>470</v>
      </c>
      <c r="B688" s="182"/>
      <c r="C688" s="182"/>
      <c r="D688" s="183"/>
      <c r="E688" s="184"/>
      <c r="F688" s="184"/>
      <c r="G688" s="184"/>
      <c r="H688" s="184"/>
      <c r="I688" s="184"/>
      <c r="J688" s="184"/>
      <c r="K688" s="155"/>
      <c r="L688" s="184"/>
      <c r="M688" s="184"/>
      <c r="N688" s="184"/>
      <c r="O688" s="192"/>
    </row>
    <row r="689" spans="1:18" x14ac:dyDescent="0.25">
      <c r="A689" s="771" t="s">
        <v>111</v>
      </c>
      <c r="B689" s="772"/>
      <c r="C689" s="772"/>
      <c r="D689" s="772"/>
      <c r="E689" s="773"/>
      <c r="F689" s="99">
        <f>F691</f>
        <v>0</v>
      </c>
      <c r="G689" s="99">
        <f>G691</f>
        <v>20612</v>
      </c>
      <c r="H689" s="99">
        <f>H691</f>
        <v>-14612</v>
      </c>
      <c r="I689" s="152">
        <f>G689+H689</f>
        <v>6000</v>
      </c>
      <c r="J689" s="152">
        <f>J694</f>
        <v>-2000</v>
      </c>
      <c r="K689" s="197">
        <f>I689+J689</f>
        <v>4000</v>
      </c>
      <c r="L689" s="152"/>
      <c r="M689" s="152"/>
      <c r="N689" s="152"/>
    </row>
    <row r="690" spans="1:18" x14ac:dyDescent="0.25">
      <c r="A690" s="98"/>
      <c r="B690" s="62"/>
      <c r="F690" s="79"/>
      <c r="G690" s="79"/>
      <c r="H690" s="79"/>
      <c r="I690" s="79"/>
      <c r="J690" s="79"/>
      <c r="K690" s="155"/>
      <c r="L690" s="79"/>
      <c r="M690" s="79"/>
      <c r="N690" s="79"/>
    </row>
    <row r="691" spans="1:18" x14ac:dyDescent="0.25">
      <c r="A691" s="97">
        <v>3</v>
      </c>
      <c r="B691" s="749" t="s">
        <v>19</v>
      </c>
      <c r="C691" s="749"/>
      <c r="D691" s="749"/>
      <c r="E691" s="749"/>
      <c r="F691" s="79">
        <f t="shared" ref="F691:H692" si="186">F692</f>
        <v>0</v>
      </c>
      <c r="G691" s="79">
        <f t="shared" si="186"/>
        <v>20612</v>
      </c>
      <c r="H691" s="79">
        <f t="shared" si="186"/>
        <v>-14612</v>
      </c>
      <c r="I691" s="79">
        <f>G691+H691</f>
        <v>6000</v>
      </c>
      <c r="J691" s="79"/>
      <c r="K691" s="155">
        <f>K692</f>
        <v>4000</v>
      </c>
      <c r="L691" s="79"/>
      <c r="M691" s="79"/>
      <c r="N691" s="79"/>
    </row>
    <row r="692" spans="1:18" x14ac:dyDescent="0.25">
      <c r="A692" s="97">
        <v>38</v>
      </c>
      <c r="B692" s="63" t="s">
        <v>180</v>
      </c>
      <c r="C692" s="63"/>
      <c r="D692" s="63"/>
      <c r="E692" s="63"/>
      <c r="F692" s="79">
        <f t="shared" si="186"/>
        <v>0</v>
      </c>
      <c r="G692" s="79">
        <f t="shared" si="186"/>
        <v>20612</v>
      </c>
      <c r="H692" s="79">
        <f t="shared" si="186"/>
        <v>-14612</v>
      </c>
      <c r="I692" s="79">
        <f t="shared" ref="I692:I695" si="187">G692+H692</f>
        <v>6000</v>
      </c>
      <c r="J692" s="79"/>
      <c r="K692" s="155">
        <f>K693</f>
        <v>4000</v>
      </c>
      <c r="L692" s="79"/>
      <c r="M692" s="79"/>
      <c r="N692" s="79"/>
    </row>
    <row r="693" spans="1:18" x14ac:dyDescent="0.25">
      <c r="A693" s="97">
        <v>381</v>
      </c>
      <c r="B693" s="63" t="s">
        <v>181</v>
      </c>
      <c r="C693" s="63"/>
      <c r="D693" s="63"/>
      <c r="E693" s="63"/>
      <c r="F693" s="79">
        <f>F695+F694</f>
        <v>0</v>
      </c>
      <c r="G693" s="79">
        <f>G695+G694</f>
        <v>20612</v>
      </c>
      <c r="H693" s="79">
        <f>H695+H694</f>
        <v>-14612</v>
      </c>
      <c r="I693" s="79">
        <f t="shared" si="187"/>
        <v>6000</v>
      </c>
      <c r="J693" s="79"/>
      <c r="K693" s="155">
        <f>K694</f>
        <v>4000</v>
      </c>
      <c r="L693" s="79"/>
      <c r="M693" s="79"/>
      <c r="N693" s="79"/>
    </row>
    <row r="694" spans="1:18" x14ac:dyDescent="0.25">
      <c r="A694" s="100">
        <v>3811</v>
      </c>
      <c r="B694" s="62" t="s">
        <v>343</v>
      </c>
      <c r="C694" s="62"/>
      <c r="D694" s="62"/>
      <c r="E694" s="62"/>
      <c r="F694" s="73"/>
      <c r="G694" s="73">
        <v>11000</v>
      </c>
      <c r="H694" s="73">
        <v>-5000</v>
      </c>
      <c r="I694" s="73">
        <f t="shared" si="187"/>
        <v>6000</v>
      </c>
      <c r="J694" s="73">
        <v>-2000</v>
      </c>
      <c r="K694" s="154">
        <f t="shared" ref="K694:K695" si="188">I694+J694</f>
        <v>4000</v>
      </c>
      <c r="L694" s="73">
        <v>-4000</v>
      </c>
      <c r="M694" s="73"/>
      <c r="N694" s="73"/>
      <c r="O694" s="7" t="s">
        <v>748</v>
      </c>
    </row>
    <row r="695" spans="1:18" x14ac:dyDescent="0.25">
      <c r="A695" s="100">
        <v>3811</v>
      </c>
      <c r="B695" s="62" t="s">
        <v>368</v>
      </c>
      <c r="C695" s="62"/>
      <c r="D695" s="62"/>
      <c r="E695" s="62"/>
      <c r="F695" s="73"/>
      <c r="G695" s="73">
        <v>9612</v>
      </c>
      <c r="H695" s="73">
        <f>-4000-5612</f>
        <v>-9612</v>
      </c>
      <c r="I695" s="73">
        <f t="shared" si="187"/>
        <v>0</v>
      </c>
      <c r="J695" s="73"/>
      <c r="K695" s="154">
        <f t="shared" si="188"/>
        <v>0</v>
      </c>
      <c r="L695" s="73">
        <v>3000</v>
      </c>
      <c r="M695" s="73"/>
      <c r="N695" s="73"/>
    </row>
    <row r="696" spans="1:18" x14ac:dyDescent="0.25">
      <c r="A696" s="100"/>
      <c r="B696" s="62"/>
      <c r="C696" s="62"/>
      <c r="D696" s="62"/>
      <c r="E696" s="62"/>
      <c r="F696" s="65"/>
      <c r="G696" s="65"/>
      <c r="H696" s="65"/>
      <c r="I696" s="65"/>
      <c r="J696" s="65"/>
      <c r="K696" s="155"/>
      <c r="L696" s="65"/>
      <c r="M696" s="65"/>
      <c r="N696" s="65"/>
    </row>
    <row r="697" spans="1:18" x14ac:dyDescent="0.25">
      <c r="A697" s="90" t="s">
        <v>344</v>
      </c>
      <c r="B697" s="90"/>
      <c r="C697" s="90"/>
      <c r="D697" s="90"/>
      <c r="E697" s="90"/>
      <c r="F697" s="91">
        <f>F698</f>
        <v>8138</v>
      </c>
      <c r="G697" s="91">
        <f>G698</f>
        <v>12000</v>
      </c>
      <c r="H697" s="91">
        <f t="shared" ref="H697:K697" si="189">H698</f>
        <v>-2502.89</v>
      </c>
      <c r="I697" s="91">
        <f t="shared" si="189"/>
        <v>9497.11</v>
      </c>
      <c r="J697" s="91">
        <f t="shared" si="189"/>
        <v>0</v>
      </c>
      <c r="K697" s="91">
        <f t="shared" si="189"/>
        <v>9497.11</v>
      </c>
      <c r="L697" s="362"/>
      <c r="M697" s="362"/>
      <c r="N697" s="362"/>
    </row>
    <row r="698" spans="1:18" x14ac:dyDescent="0.25">
      <c r="A698" s="77" t="s">
        <v>113</v>
      </c>
      <c r="B698" s="77"/>
      <c r="C698" s="77"/>
      <c r="D698" s="77"/>
      <c r="E698" s="77"/>
      <c r="F698" s="78">
        <f>F700</f>
        <v>8138</v>
      </c>
      <c r="G698" s="78">
        <f>G700</f>
        <v>12000</v>
      </c>
      <c r="H698" s="78">
        <f t="shared" ref="H698:K698" si="190">H700</f>
        <v>-2502.89</v>
      </c>
      <c r="I698" s="78">
        <f t="shared" si="190"/>
        <v>9497.11</v>
      </c>
      <c r="J698" s="78">
        <f t="shared" si="190"/>
        <v>0</v>
      </c>
      <c r="K698" s="78">
        <f t="shared" si="190"/>
        <v>9497.11</v>
      </c>
      <c r="L698" s="363"/>
      <c r="M698" s="363"/>
      <c r="N698" s="363"/>
    </row>
    <row r="699" spans="1:18" x14ac:dyDescent="0.25">
      <c r="A699" s="185" t="s">
        <v>471</v>
      </c>
      <c r="B699" s="182"/>
      <c r="C699" s="182"/>
      <c r="D699" s="183"/>
      <c r="E699" s="184"/>
      <c r="F699" s="184"/>
      <c r="G699" s="184"/>
      <c r="H699" s="184"/>
      <c r="I699" s="184"/>
      <c r="J699" s="184"/>
      <c r="K699" s="155"/>
      <c r="L699" s="184"/>
      <c r="M699" s="184"/>
      <c r="N699" s="184"/>
      <c r="O699" s="192"/>
    </row>
    <row r="700" spans="1:18" x14ac:dyDescent="0.25">
      <c r="A700" s="102" t="s">
        <v>406</v>
      </c>
      <c r="B700" s="112"/>
      <c r="C700" s="112"/>
      <c r="D700" s="112"/>
      <c r="E700" s="112"/>
      <c r="F700" s="94">
        <f>F702</f>
        <v>8138</v>
      </c>
      <c r="G700" s="94">
        <f>G702</f>
        <v>12000</v>
      </c>
      <c r="H700" s="94">
        <f>H702</f>
        <v>-2502.89</v>
      </c>
      <c r="I700" s="249">
        <f>G700+H700</f>
        <v>9497.11</v>
      </c>
      <c r="J700" s="249"/>
      <c r="K700" s="197">
        <f>I700+J700</f>
        <v>9497.11</v>
      </c>
      <c r="L700" s="249"/>
      <c r="M700" s="249"/>
      <c r="N700" s="249">
        <f>N705</f>
        <v>9038</v>
      </c>
    </row>
    <row r="701" spans="1:18" x14ac:dyDescent="0.25">
      <c r="A701" s="98"/>
      <c r="F701" s="79"/>
      <c r="G701" s="79"/>
      <c r="H701" s="79"/>
      <c r="I701" s="79"/>
      <c r="J701" s="79"/>
      <c r="K701" s="155"/>
      <c r="L701" s="79"/>
      <c r="M701" s="79"/>
      <c r="N701" s="79"/>
    </row>
    <row r="702" spans="1:18" x14ac:dyDescent="0.25">
      <c r="A702" s="97">
        <v>3</v>
      </c>
      <c r="B702" s="749" t="s">
        <v>19</v>
      </c>
      <c r="C702" s="749"/>
      <c r="D702" s="749"/>
      <c r="E702" s="749"/>
      <c r="F702" s="79">
        <f t="shared" ref="F702:H704" si="191">F703</f>
        <v>8138</v>
      </c>
      <c r="G702" s="79">
        <f t="shared" si="191"/>
        <v>12000</v>
      </c>
      <c r="H702" s="79">
        <f t="shared" si="191"/>
        <v>-2502.89</v>
      </c>
      <c r="I702" s="79">
        <f>G702+H702</f>
        <v>9497.11</v>
      </c>
      <c r="J702" s="79"/>
      <c r="K702" s="155">
        <f>I702+J702</f>
        <v>9497.11</v>
      </c>
      <c r="L702" s="79"/>
      <c r="M702" s="79"/>
      <c r="N702" s="79"/>
      <c r="O702" s="7" t="s">
        <v>495</v>
      </c>
      <c r="R702" s="7" t="s">
        <v>524</v>
      </c>
    </row>
    <row r="703" spans="1:18" x14ac:dyDescent="0.25">
      <c r="A703" s="97">
        <v>38</v>
      </c>
      <c r="B703" s="63" t="s">
        <v>180</v>
      </c>
      <c r="C703" s="63"/>
      <c r="D703" s="63"/>
      <c r="E703" s="63"/>
      <c r="F703" s="79">
        <f t="shared" si="191"/>
        <v>8138</v>
      </c>
      <c r="G703" s="79">
        <f t="shared" si="191"/>
        <v>12000</v>
      </c>
      <c r="H703" s="79">
        <f t="shared" si="191"/>
        <v>-2502.89</v>
      </c>
      <c r="I703" s="79">
        <f t="shared" ref="I703:I705" si="192">G703+H703</f>
        <v>9497.11</v>
      </c>
      <c r="J703" s="79"/>
      <c r="K703" s="155">
        <f t="shared" ref="K703:K705" si="193">I703+J703</f>
        <v>9497.11</v>
      </c>
      <c r="L703" s="79"/>
      <c r="M703" s="79"/>
      <c r="N703" s="79"/>
    </row>
    <row r="704" spans="1:18" x14ac:dyDescent="0.25">
      <c r="A704" s="97">
        <v>381</v>
      </c>
      <c r="B704" s="63" t="s">
        <v>181</v>
      </c>
      <c r="C704" s="63"/>
      <c r="D704" s="63"/>
      <c r="E704" s="63"/>
      <c r="F704" s="79">
        <f t="shared" si="191"/>
        <v>8138</v>
      </c>
      <c r="G704" s="79">
        <f t="shared" si="191"/>
        <v>12000</v>
      </c>
      <c r="H704" s="79">
        <f t="shared" si="191"/>
        <v>-2502.89</v>
      </c>
      <c r="I704" s="79">
        <f t="shared" si="192"/>
        <v>9497.11</v>
      </c>
      <c r="J704" s="79"/>
      <c r="K704" s="155">
        <f t="shared" si="193"/>
        <v>9497.11</v>
      </c>
      <c r="L704" s="79"/>
      <c r="M704" s="79"/>
      <c r="N704" s="79"/>
    </row>
    <row r="705" spans="1:16" x14ac:dyDescent="0.25">
      <c r="A705" s="100">
        <v>3811</v>
      </c>
      <c r="B705" s="62" t="s">
        <v>345</v>
      </c>
      <c r="C705" s="62"/>
      <c r="D705" s="62"/>
      <c r="E705" s="62"/>
      <c r="F705" s="73">
        <v>8138</v>
      </c>
      <c r="G705" s="73">
        <v>12000</v>
      </c>
      <c r="H705" s="73">
        <v>-2502.89</v>
      </c>
      <c r="I705" s="73">
        <f t="shared" si="192"/>
        <v>9497.11</v>
      </c>
      <c r="J705" s="73"/>
      <c r="K705" s="154">
        <f t="shared" si="193"/>
        <v>9497.11</v>
      </c>
      <c r="L705" s="73"/>
      <c r="M705" s="73"/>
      <c r="N705" s="73">
        <f>9038</f>
        <v>9038</v>
      </c>
      <c r="O705" s="7" t="s">
        <v>588</v>
      </c>
    </row>
    <row r="706" spans="1:16" x14ac:dyDescent="0.25">
      <c r="A706" s="62"/>
      <c r="B706" s="62"/>
      <c r="C706" s="62"/>
      <c r="D706" s="62"/>
      <c r="E706" s="62"/>
      <c r="F706" s="73"/>
      <c r="G706" s="73"/>
      <c r="H706" s="73"/>
      <c r="I706" s="73"/>
      <c r="J706" s="73"/>
      <c r="K706" s="73"/>
      <c r="L706" s="73"/>
      <c r="M706" s="73"/>
      <c r="N706" s="73"/>
      <c r="P706" s="62" t="s">
        <v>404</v>
      </c>
    </row>
    <row r="707" spans="1:16" x14ac:dyDescent="0.25">
      <c r="O707" s="7">
        <v>800</v>
      </c>
      <c r="P707" t="s">
        <v>405</v>
      </c>
    </row>
    <row r="708" spans="1:16" x14ac:dyDescent="0.25">
      <c r="P708" t="s">
        <v>407</v>
      </c>
    </row>
    <row r="709" spans="1:16" x14ac:dyDescent="0.25">
      <c r="O709" s="7">
        <v>600</v>
      </c>
      <c r="P709" t="s">
        <v>324</v>
      </c>
    </row>
    <row r="710" spans="1:16" x14ac:dyDescent="0.25">
      <c r="F710" s="73"/>
      <c r="G710" s="73"/>
      <c r="H710" s="73"/>
      <c r="I710" s="73"/>
      <c r="J710" s="73"/>
      <c r="K710" s="73"/>
      <c r="L710" s="73"/>
      <c r="M710" s="73"/>
      <c r="N710" s="73"/>
      <c r="P710" t="s">
        <v>408</v>
      </c>
    </row>
    <row r="711" spans="1:16" x14ac:dyDescent="0.25">
      <c r="F711" s="73"/>
      <c r="G711" s="73"/>
      <c r="H711" s="73"/>
      <c r="I711" s="73"/>
      <c r="J711" s="73"/>
      <c r="K711" s="73"/>
      <c r="L711" s="73"/>
      <c r="M711" s="73"/>
      <c r="N711" s="73"/>
      <c r="O711" s="7">
        <v>269.64</v>
      </c>
      <c r="P711" t="s">
        <v>409</v>
      </c>
    </row>
    <row r="712" spans="1:16" x14ac:dyDescent="0.25">
      <c r="O712" s="7">
        <v>1100</v>
      </c>
      <c r="P712" t="s">
        <v>410</v>
      </c>
    </row>
    <row r="713" spans="1:16" x14ac:dyDescent="0.25">
      <c r="O713" s="7">
        <v>1400</v>
      </c>
      <c r="P713" t="s">
        <v>411</v>
      </c>
    </row>
    <row r="714" spans="1:16" x14ac:dyDescent="0.25">
      <c r="O714" s="7">
        <v>1100</v>
      </c>
      <c r="P714" t="s">
        <v>412</v>
      </c>
    </row>
    <row r="715" spans="1:16" x14ac:dyDescent="0.25">
      <c r="F715" s="135"/>
      <c r="G715" s="135"/>
      <c r="H715" s="135"/>
      <c r="I715" s="135"/>
      <c r="J715" s="135"/>
      <c r="K715" s="135"/>
      <c r="L715" s="135"/>
      <c r="M715" s="135"/>
      <c r="N715" s="135"/>
      <c r="O715" s="7">
        <v>575</v>
      </c>
      <c r="P715" t="s">
        <v>413</v>
      </c>
    </row>
    <row r="716" spans="1:16" x14ac:dyDescent="0.25">
      <c r="F716" s="135"/>
      <c r="G716" s="135"/>
      <c r="H716" s="135"/>
      <c r="I716" s="135"/>
      <c r="J716" s="135"/>
      <c r="K716" s="135"/>
      <c r="L716" s="135"/>
      <c r="M716" s="135"/>
      <c r="N716" s="135"/>
      <c r="P716" t="s">
        <v>415</v>
      </c>
    </row>
    <row r="717" spans="1:16" x14ac:dyDescent="0.25">
      <c r="F717" s="135"/>
      <c r="G717" s="135"/>
      <c r="H717" s="135"/>
      <c r="I717" s="135"/>
      <c r="J717" s="135"/>
      <c r="K717" s="135"/>
      <c r="L717" s="135"/>
      <c r="M717" s="135"/>
      <c r="N717" s="135"/>
    </row>
    <row r="718" spans="1:16" x14ac:dyDescent="0.25">
      <c r="F718" s="135"/>
      <c r="G718" s="135"/>
      <c r="H718" s="135"/>
      <c r="I718" s="135"/>
      <c r="J718" s="135"/>
      <c r="K718" s="135"/>
      <c r="L718" s="135"/>
      <c r="M718" s="135"/>
      <c r="N718" s="135"/>
    </row>
    <row r="719" spans="1:16" x14ac:dyDescent="0.25">
      <c r="F719" s="135"/>
      <c r="G719" s="135"/>
      <c r="H719" s="135"/>
      <c r="I719" s="135"/>
      <c r="J719" s="135"/>
      <c r="K719" s="135"/>
      <c r="L719" s="135"/>
      <c r="M719" s="135"/>
      <c r="N719" s="135"/>
    </row>
    <row r="720" spans="1:16" x14ac:dyDescent="0.25">
      <c r="F720" s="135"/>
      <c r="G720" s="135"/>
      <c r="H720" s="135"/>
      <c r="I720" s="135"/>
      <c r="J720" s="135"/>
      <c r="K720" s="135"/>
      <c r="L720" s="135"/>
      <c r="M720" s="135"/>
      <c r="N720" s="135"/>
    </row>
    <row r="721" spans="6:14" x14ac:dyDescent="0.25">
      <c r="F721" s="135"/>
      <c r="G721" s="135"/>
      <c r="H721" s="135"/>
      <c r="I721" s="135"/>
      <c r="J721" s="135"/>
      <c r="K721" s="135"/>
      <c r="L721" s="135"/>
      <c r="M721" s="135"/>
      <c r="N721" s="135"/>
    </row>
    <row r="722" spans="6:14" x14ac:dyDescent="0.25">
      <c r="F722" s="135"/>
      <c r="G722" s="135"/>
      <c r="H722" s="135"/>
      <c r="I722" s="135"/>
      <c r="J722" s="135"/>
      <c r="K722" s="135"/>
      <c r="L722" s="135"/>
      <c r="M722" s="135"/>
      <c r="N722" s="135"/>
    </row>
  </sheetData>
  <mergeCells count="178">
    <mergeCell ref="M218:M219"/>
    <mergeCell ref="J302:J303"/>
    <mergeCell ref="K302:K303"/>
    <mergeCell ref="L302:L303"/>
    <mergeCell ref="M302:M303"/>
    <mergeCell ref="J348:J349"/>
    <mergeCell ref="K348:K349"/>
    <mergeCell ref="J375:J376"/>
    <mergeCell ref="A352:E352"/>
    <mergeCell ref="K375:K376"/>
    <mergeCell ref="B340:E340"/>
    <mergeCell ref="F348:F349"/>
    <mergeCell ref="B306:E306"/>
    <mergeCell ref="B264:E264"/>
    <mergeCell ref="A272:E272"/>
    <mergeCell ref="A294:E294"/>
    <mergeCell ref="A261:E261"/>
    <mergeCell ref="A269:E269"/>
    <mergeCell ref="B243:E243"/>
    <mergeCell ref="A302:E302"/>
    <mergeCell ref="A303:E303"/>
    <mergeCell ref="B308:E308"/>
    <mergeCell ref="B238:E238"/>
    <mergeCell ref="B224:E224"/>
    <mergeCell ref="J214:J215"/>
    <mergeCell ref="K214:K215"/>
    <mergeCell ref="J218:J219"/>
    <mergeCell ref="K218:K219"/>
    <mergeCell ref="L218:L219"/>
    <mergeCell ref="B408:E408"/>
    <mergeCell ref="A418:E418"/>
    <mergeCell ref="B369:E369"/>
    <mergeCell ref="B394:E394"/>
    <mergeCell ref="A387:E387"/>
    <mergeCell ref="B411:E411"/>
    <mergeCell ref="B412:E412"/>
    <mergeCell ref="A376:E376"/>
    <mergeCell ref="B368:E368"/>
    <mergeCell ref="B254:E254"/>
    <mergeCell ref="B314:E314"/>
    <mergeCell ref="B316:E316"/>
    <mergeCell ref="B322:E322"/>
    <mergeCell ref="B324:E324"/>
    <mergeCell ref="B330:E330"/>
    <mergeCell ref="B332:E332"/>
    <mergeCell ref="B338:E338"/>
    <mergeCell ref="B297:E297"/>
    <mergeCell ref="B275:E275"/>
    <mergeCell ref="A464:E464"/>
    <mergeCell ref="A662:E662"/>
    <mergeCell ref="A483:E483"/>
    <mergeCell ref="A465:E465"/>
    <mergeCell ref="B469:E469"/>
    <mergeCell ref="B481:E481"/>
    <mergeCell ref="A473:E473"/>
    <mergeCell ref="B554:E554"/>
    <mergeCell ref="A417:E417"/>
    <mergeCell ref="B449:E449"/>
    <mergeCell ref="B435:E435"/>
    <mergeCell ref="B421:E421"/>
    <mergeCell ref="B422:E422"/>
    <mergeCell ref="A426:E426"/>
    <mergeCell ref="B691:E691"/>
    <mergeCell ref="B702:E702"/>
    <mergeCell ref="B681:E681"/>
    <mergeCell ref="A689:E689"/>
    <mergeCell ref="B667:E667"/>
    <mergeCell ref="B671:E671"/>
    <mergeCell ref="B673:E673"/>
    <mergeCell ref="B674:E674"/>
    <mergeCell ref="B669:E669"/>
    <mergeCell ref="B664:E664"/>
    <mergeCell ref="B665:E665"/>
    <mergeCell ref="B522:E522"/>
    <mergeCell ref="B526:E526"/>
    <mergeCell ref="A490:E490"/>
    <mergeCell ref="A493:E493"/>
    <mergeCell ref="B508:E508"/>
    <mergeCell ref="B528:E528"/>
    <mergeCell ref="B539:E539"/>
    <mergeCell ref="A542:E542"/>
    <mergeCell ref="A608:E608"/>
    <mergeCell ref="A617:E617"/>
    <mergeCell ref="A574:E574"/>
    <mergeCell ref="B579:E579"/>
    <mergeCell ref="A583:E583"/>
    <mergeCell ref="A584:E584"/>
    <mergeCell ref="A586:E586"/>
    <mergeCell ref="A567:E567"/>
    <mergeCell ref="B643:E643"/>
    <mergeCell ref="A597:E597"/>
    <mergeCell ref="B513:E513"/>
    <mergeCell ref="B514:D514"/>
    <mergeCell ref="B521:E521"/>
    <mergeCell ref="B515:E515"/>
    <mergeCell ref="A7:E7"/>
    <mergeCell ref="A28:E28"/>
    <mergeCell ref="A52:E52"/>
    <mergeCell ref="B25:E25"/>
    <mergeCell ref="A29:E29"/>
    <mergeCell ref="A41:E41"/>
    <mergeCell ref="A51:E51"/>
    <mergeCell ref="A157:E157"/>
    <mergeCell ref="B161:E161"/>
    <mergeCell ref="B105:E105"/>
    <mergeCell ref="B94:E94"/>
    <mergeCell ref="B102:E102"/>
    <mergeCell ref="B104:E104"/>
    <mergeCell ref="A149:E149"/>
    <mergeCell ref="B153:E153"/>
    <mergeCell ref="A150:E150"/>
    <mergeCell ref="A114:E114"/>
    <mergeCell ref="B145:E145"/>
    <mergeCell ref="B125:E125"/>
    <mergeCell ref="A141:E141"/>
    <mergeCell ref="A54:E54"/>
    <mergeCell ref="B61:E61"/>
    <mergeCell ref="B72:E72"/>
    <mergeCell ref="A115:E115"/>
    <mergeCell ref="P462:P463"/>
    <mergeCell ref="A463:E463"/>
    <mergeCell ref="A453:E453"/>
    <mergeCell ref="H453:H454"/>
    <mergeCell ref="O453:O454"/>
    <mergeCell ref="P453:P454"/>
    <mergeCell ref="A454:E454"/>
    <mergeCell ref="A455:E455"/>
    <mergeCell ref="A456:E456"/>
    <mergeCell ref="B460:E460"/>
    <mergeCell ref="A462:E462"/>
    <mergeCell ref="H462:H463"/>
    <mergeCell ref="G462:G463"/>
    <mergeCell ref="O462:O463"/>
    <mergeCell ref="I462:I463"/>
    <mergeCell ref="F453:F454"/>
    <mergeCell ref="F462:F463"/>
    <mergeCell ref="J462:J463"/>
    <mergeCell ref="K462:K463"/>
    <mergeCell ref="F425:F426"/>
    <mergeCell ref="I375:I376"/>
    <mergeCell ref="H375:H376"/>
    <mergeCell ref="I53:I54"/>
    <mergeCell ref="H194:H195"/>
    <mergeCell ref="I218:I219"/>
    <mergeCell ref="I302:I303"/>
    <mergeCell ref="F351:F352"/>
    <mergeCell ref="F375:F376"/>
    <mergeCell ref="G375:G376"/>
    <mergeCell ref="H302:H303"/>
    <mergeCell ref="H218:H219"/>
    <mergeCell ref="H53:H54"/>
    <mergeCell ref="H214:H215"/>
    <mergeCell ref="I214:I215"/>
    <mergeCell ref="H348:H349"/>
    <mergeCell ref="I348:I349"/>
    <mergeCell ref="G348:G349"/>
    <mergeCell ref="G302:G303"/>
    <mergeCell ref="F302:F303"/>
    <mergeCell ref="B279:E279"/>
    <mergeCell ref="A282:E282"/>
    <mergeCell ref="A215:E215"/>
    <mergeCell ref="G53:G54"/>
    <mergeCell ref="G218:G219"/>
    <mergeCell ref="A170:E170"/>
    <mergeCell ref="B173:E173"/>
    <mergeCell ref="B174:E174"/>
    <mergeCell ref="B175:E175"/>
    <mergeCell ref="G214:G215"/>
    <mergeCell ref="A179:E179"/>
    <mergeCell ref="A195:E195"/>
    <mergeCell ref="F53:F54"/>
    <mergeCell ref="F194:F195"/>
    <mergeCell ref="F214:F215"/>
    <mergeCell ref="F218:F219"/>
    <mergeCell ref="A130:E130"/>
    <mergeCell ref="B139:E139"/>
    <mergeCell ref="G194:G195"/>
    <mergeCell ref="A219:E219"/>
  </mergeCells>
  <pageMargins left="0.11811023622047245" right="0.11811023622047245" top="0.35433070866141736" bottom="0.35433070866141736" header="0.31496062992125984" footer="0.31496062992125984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  <vt:lpstr>ne</vt:lpstr>
      <vt:lpstr>Prihodi radni primjer</vt:lpstr>
      <vt:lpstr>Rashodi radni primjer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Opcina ferdinandovac</cp:lastModifiedBy>
  <cp:lastPrinted>2024-12-05T12:11:48Z</cp:lastPrinted>
  <dcterms:created xsi:type="dcterms:W3CDTF">2022-08-12T12:51:27Z</dcterms:created>
  <dcterms:modified xsi:type="dcterms:W3CDTF">2024-12-05T12:13:25Z</dcterms:modified>
</cp:coreProperties>
</file>